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예산관리\2019학년도\2019-추경\"/>
    </mc:Choice>
  </mc:AlternateContent>
  <bookViews>
    <workbookView xWindow="240" yWindow="300" windowWidth="11400" windowHeight="6285" tabRatio="641" activeTab="2"/>
  </bookViews>
  <sheets>
    <sheet name="표지" sheetId="24" r:id="rId1"/>
    <sheet name="총칙" sheetId="25" r:id="rId2"/>
    <sheet name="총괄표" sheetId="30" r:id="rId3"/>
    <sheet name="세입" sheetId="28" r:id="rId4"/>
    <sheet name="세출" sheetId="29" r:id="rId5"/>
  </sheets>
  <definedNames>
    <definedName name="_xlnm.Print_Area" localSheetId="3">세입!$A$1:$H$83</definedName>
    <definedName name="_xlnm.Print_Area" localSheetId="4">세출!$A$1:$H$211</definedName>
    <definedName name="_xlnm.Print_Area" localSheetId="2">총괄표!$A$1:$E$19</definedName>
    <definedName name="_xlnm.Print_Area" localSheetId="1">총칙!$A$1:$E$23</definedName>
    <definedName name="_xlnm.Print_Titles" localSheetId="3">세입!$3:$5</definedName>
    <definedName name="_xlnm.Print_Titles" localSheetId="4">세출!$3:$5</definedName>
    <definedName name="Z_68F178D3_0354_11D6_9F0E_00C02659FFE6_.wvu.PrintTitles" localSheetId="3" hidden="1">세입!$4:$6</definedName>
    <definedName name="Z_68F178D3_0354_11D6_9F0E_00C02659FFE6_.wvu.PrintTitles" localSheetId="4" hidden="1">세출!#REF!</definedName>
  </definedNames>
  <calcPr calcId="162913"/>
  <customWorkbookViews>
    <customWorkbookView name="이수미 - 기본 보기" guid="{68F178D3-0354-11D6-9F0E-00C02659FFE6}" mergeInterval="0" personalView="1" maximized="1" windowWidth="1020" windowHeight="582" tabRatio="867" activeSheetId="5"/>
    <customWorkbookView name="행정실장 - 기본 보기" guid="{CBC79894-0354-11D6-9F0C-00C02659F78A}" mergeInterval="0" personalView="1" maximized="1" windowWidth="1020" windowHeight="585" tabRatio="867" activeSheetId="1"/>
  </customWorkbookViews>
</workbook>
</file>

<file path=xl/calcChain.xml><?xml version="1.0" encoding="utf-8"?>
<calcChain xmlns="http://schemas.openxmlformats.org/spreadsheetml/2006/main">
  <c r="F162" i="29" l="1"/>
  <c r="H108" i="29"/>
  <c r="H107" i="29"/>
  <c r="H179" i="29"/>
  <c r="H182" i="29"/>
  <c r="H181" i="29"/>
  <c r="H178" i="29"/>
  <c r="D184" i="29"/>
  <c r="H149" i="29" l="1"/>
  <c r="H148" i="29"/>
  <c r="H147" i="29"/>
  <c r="H151" i="29"/>
  <c r="H146" i="29"/>
  <c r="H145" i="29"/>
  <c r="H75" i="29" l="1"/>
  <c r="H73" i="29"/>
  <c r="F39" i="28" l="1"/>
  <c r="H10" i="28"/>
  <c r="H40" i="28" s="1"/>
  <c r="D39" i="28" s="1"/>
  <c r="H8" i="28"/>
  <c r="H24" i="28"/>
  <c r="H22" i="28"/>
  <c r="H26" i="28"/>
  <c r="D26" i="28" s="1"/>
  <c r="H67" i="28"/>
  <c r="H65" i="28"/>
  <c r="E7" i="28" l="1"/>
  <c r="D70" i="28"/>
  <c r="D82" i="28"/>
  <c r="D65" i="28"/>
  <c r="D52" i="28"/>
  <c r="D49" i="28"/>
  <c r="D47" i="28"/>
  <c r="D46" i="28"/>
  <c r="D44" i="28"/>
  <c r="D43" i="28"/>
  <c r="D42" i="28" s="1"/>
  <c r="D41" i="28"/>
  <c r="D38" i="28" s="1"/>
  <c r="D33" i="28"/>
  <c r="D22" i="28"/>
  <c r="D20" i="28" s="1"/>
  <c r="E10" i="28"/>
  <c r="E9" i="28" s="1"/>
  <c r="D10" i="28"/>
  <c r="D9" i="28" s="1"/>
  <c r="D8" i="28"/>
  <c r="D7" i="28" s="1"/>
  <c r="E79" i="28"/>
  <c r="E78" i="28" s="1"/>
  <c r="E76" i="28"/>
  <c r="E75" i="28" s="1"/>
  <c r="E73" i="28"/>
  <c r="E72" i="28" s="1"/>
  <c r="E64" i="28"/>
  <c r="E63" i="28" s="1"/>
  <c r="E61" i="28"/>
  <c r="E60" i="28" s="1"/>
  <c r="E57" i="28"/>
  <c r="E56" i="28" s="1"/>
  <c r="E51" i="28"/>
  <c r="E50" i="28" s="1"/>
  <c r="E45" i="28"/>
  <c r="E42" i="28"/>
  <c r="E38" i="28"/>
  <c r="E32" i="28"/>
  <c r="E20" i="28"/>
  <c r="E16" i="28"/>
  <c r="E12" i="28"/>
  <c r="D161" i="29"/>
  <c r="F161" i="29" s="1"/>
  <c r="E139" i="29"/>
  <c r="E83" i="29"/>
  <c r="D163" i="29"/>
  <c r="F163" i="29" s="1"/>
  <c r="H159" i="29"/>
  <c r="D157" i="29"/>
  <c r="F157" i="29" s="1"/>
  <c r="H137" i="29"/>
  <c r="H126" i="29"/>
  <c r="D123" i="29"/>
  <c r="H120" i="29"/>
  <c r="D120" i="29" s="1"/>
  <c r="D116" i="29"/>
  <c r="F116" i="29" s="1"/>
  <c r="H113" i="29"/>
  <c r="H100" i="29"/>
  <c r="H99" i="29"/>
  <c r="H96" i="29"/>
  <c r="H92" i="29"/>
  <c r="H39" i="29"/>
  <c r="H38" i="29"/>
  <c r="H32" i="29"/>
  <c r="H24" i="29"/>
  <c r="E6" i="28" l="1"/>
  <c r="D45" i="28"/>
  <c r="D64" i="28"/>
  <c r="D34" i="28"/>
  <c r="D32" i="28" s="1"/>
  <c r="E31" i="28"/>
  <c r="D139" i="29"/>
  <c r="F139" i="29" s="1"/>
  <c r="D83" i="29"/>
  <c r="F83" i="29" s="1"/>
  <c r="D92" i="29"/>
  <c r="F92" i="29" s="1"/>
  <c r="D158" i="29"/>
  <c r="F158" i="29" s="1"/>
  <c r="F156" i="29" s="1"/>
  <c r="D143" i="29"/>
  <c r="F143" i="29" s="1"/>
  <c r="D144" i="29"/>
  <c r="F144" i="29" s="1"/>
  <c r="D130" i="29"/>
  <c r="D137" i="29"/>
  <c r="F137" i="29" s="1"/>
  <c r="D126" i="29"/>
  <c r="D114" i="29"/>
  <c r="F114" i="29" s="1"/>
  <c r="D178" i="29"/>
  <c r="F178" i="29" s="1"/>
  <c r="D109" i="29"/>
  <c r="F109" i="29" s="1"/>
  <c r="D118" i="29"/>
  <c r="D50" i="29"/>
  <c r="F50" i="29" s="1"/>
  <c r="D45" i="29"/>
  <c r="F45" i="29" s="1"/>
  <c r="D30" i="29"/>
  <c r="F30" i="29" s="1"/>
  <c r="D38" i="29"/>
  <c r="F38" i="29" s="1"/>
  <c r="D33" i="29"/>
  <c r="F33" i="29" s="1"/>
  <c r="D25" i="29"/>
  <c r="D19" i="29"/>
  <c r="F142" i="29" l="1"/>
  <c r="F29" i="29"/>
  <c r="D31" i="28"/>
  <c r="C13" i="30" s="1"/>
  <c r="E83" i="28"/>
  <c r="D8" i="30" s="1"/>
  <c r="H15" i="29" l="1"/>
  <c r="D11" i="29" l="1"/>
  <c r="F11" i="29" s="1"/>
  <c r="D8" i="29"/>
  <c r="F8" i="29" s="1"/>
  <c r="E209" i="29"/>
  <c r="E208" i="29" s="1"/>
  <c r="E206" i="29"/>
  <c r="E205" i="29" s="1"/>
  <c r="E203" i="29"/>
  <c r="E202" i="29" s="1"/>
  <c r="E183" i="29"/>
  <c r="E176" i="29"/>
  <c r="E172" i="29"/>
  <c r="E171" i="29" s="1"/>
  <c r="E168" i="29"/>
  <c r="E167" i="29" s="1"/>
  <c r="E165" i="29"/>
  <c r="E164" i="29" s="1"/>
  <c r="E156" i="29"/>
  <c r="E142" i="29"/>
  <c r="E122" i="29"/>
  <c r="E121" i="29" s="1"/>
  <c r="E117" i="29"/>
  <c r="E82" i="29"/>
  <c r="E49" i="29"/>
  <c r="E29" i="29"/>
  <c r="E7" i="29"/>
  <c r="D29" i="29"/>
  <c r="D49" i="29"/>
  <c r="D82" i="29"/>
  <c r="D117" i="29"/>
  <c r="D122" i="29"/>
  <c r="D121" i="29" s="1"/>
  <c r="E14" i="30" s="1"/>
  <c r="D142" i="29"/>
  <c r="D156" i="29"/>
  <c r="D165" i="29"/>
  <c r="D164" i="29" s="1"/>
  <c r="D168" i="29"/>
  <c r="D167" i="29" s="1"/>
  <c r="D172" i="29"/>
  <c r="D171" i="29" s="1"/>
  <c r="E16" i="30" s="1"/>
  <c r="D176" i="29"/>
  <c r="D183" i="29"/>
  <c r="D203" i="29"/>
  <c r="D202" i="29" s="1"/>
  <c r="D206" i="29"/>
  <c r="D205" i="29" s="1"/>
  <c r="D209" i="29"/>
  <c r="D208" i="29" s="1"/>
  <c r="E18" i="30" s="1"/>
  <c r="E81" i="29" l="1"/>
  <c r="D7" i="29"/>
  <c r="D6" i="29" s="1"/>
  <c r="E12" i="30" s="1"/>
  <c r="E19" i="30" s="1"/>
  <c r="E175" i="29"/>
  <c r="D175" i="29"/>
  <c r="E17" i="30" s="1"/>
  <c r="E141" i="29"/>
  <c r="D81" i="29"/>
  <c r="E13" i="30" s="1"/>
  <c r="D141" i="29"/>
  <c r="E15" i="30" s="1"/>
  <c r="E6" i="29"/>
  <c r="D211" i="29" l="1"/>
  <c r="E211" i="29"/>
  <c r="F120" i="29"/>
  <c r="F49" i="28"/>
  <c r="F209" i="29"/>
  <c r="F208" i="29" s="1"/>
  <c r="F207" i="29"/>
  <c r="F206" i="29" s="1"/>
  <c r="F205" i="29" s="1"/>
  <c r="F203" i="29"/>
  <c r="F202" i="29" s="1"/>
  <c r="F201" i="29"/>
  <c r="F184" i="29"/>
  <c r="F177" i="29"/>
  <c r="F176" i="29" s="1"/>
  <c r="F172" i="29"/>
  <c r="F171" i="29" s="1"/>
  <c r="F168" i="29"/>
  <c r="F167" i="29" s="1"/>
  <c r="F165" i="29"/>
  <c r="F164" i="29" s="1"/>
  <c r="F130" i="29"/>
  <c r="F126" i="29"/>
  <c r="F123" i="29"/>
  <c r="F118" i="29"/>
  <c r="F117" i="29" s="1"/>
  <c r="F115" i="29"/>
  <c r="F49" i="29"/>
  <c r="F25" i="29"/>
  <c r="F19" i="29"/>
  <c r="F82" i="28"/>
  <c r="F81" i="28"/>
  <c r="F80" i="28"/>
  <c r="D79" i="28"/>
  <c r="D78" i="28" s="1"/>
  <c r="C16" i="30" s="1"/>
  <c r="F77" i="28"/>
  <c r="F76" i="28"/>
  <c r="F75" i="28" s="1"/>
  <c r="D76" i="28"/>
  <c r="D75" i="28" s="1"/>
  <c r="F74" i="28"/>
  <c r="F73" i="28" s="1"/>
  <c r="F72" i="28" s="1"/>
  <c r="D73" i="28"/>
  <c r="D72" i="28" s="1"/>
  <c r="F71" i="28"/>
  <c r="F70" i="28"/>
  <c r="F69" i="28"/>
  <c r="F65" i="28"/>
  <c r="D63" i="28"/>
  <c r="C15" i="30" s="1"/>
  <c r="F62" i="28"/>
  <c r="F61" i="28" s="1"/>
  <c r="F60" i="28" s="1"/>
  <c r="D61" i="28"/>
  <c r="D60" i="28" s="1"/>
  <c r="F59" i="28"/>
  <c r="F58" i="28"/>
  <c r="F57" i="28" s="1"/>
  <c r="F56" i="28" s="1"/>
  <c r="D57" i="28"/>
  <c r="D56" i="28" s="1"/>
  <c r="F55" i="28"/>
  <c r="F54" i="28"/>
  <c r="F53" i="28"/>
  <c r="F52" i="28"/>
  <c r="D51" i="28"/>
  <c r="D50" i="28" s="1"/>
  <c r="C14" i="30" s="1"/>
  <c r="F48" i="28"/>
  <c r="F47" i="28"/>
  <c r="F46" i="28"/>
  <c r="F44" i="28"/>
  <c r="F43" i="28"/>
  <c r="F41" i="28"/>
  <c r="F38" i="28" s="1"/>
  <c r="F34" i="28"/>
  <c r="F33" i="28"/>
  <c r="F26" i="28"/>
  <c r="F22" i="28"/>
  <c r="F21" i="28"/>
  <c r="F18" i="28"/>
  <c r="F16" i="28" s="1"/>
  <c r="D16" i="28"/>
  <c r="F15" i="28"/>
  <c r="F14" i="28"/>
  <c r="F13" i="28"/>
  <c r="D12" i="28"/>
  <c r="F10" i="28"/>
  <c r="F9" i="28" s="1"/>
  <c r="F8" i="28"/>
  <c r="F7" i="28" s="1"/>
  <c r="F7" i="29" l="1"/>
  <c r="F6" i="29" s="1"/>
  <c r="F32" i="28"/>
  <c r="F79" i="28"/>
  <c r="F78" i="28" s="1"/>
  <c r="F42" i="28"/>
  <c r="D6" i="28"/>
  <c r="F51" i="28"/>
  <c r="F50" i="28" s="1"/>
  <c r="F45" i="28"/>
  <c r="F12" i="28"/>
  <c r="F20" i="28"/>
  <c r="F6" i="28" s="1"/>
  <c r="F64" i="28"/>
  <c r="F63" i="28" s="1"/>
  <c r="F122" i="29"/>
  <c r="F121" i="29" s="1"/>
  <c r="F183" i="29"/>
  <c r="F175" i="29" s="1"/>
  <c r="F82" i="29"/>
  <c r="F81" i="29" s="1"/>
  <c r="F141" i="29"/>
  <c r="D83" i="28" l="1"/>
  <c r="C12" i="30"/>
  <c r="C19" i="30" s="1"/>
  <c r="B8" i="30" s="1"/>
  <c r="E8" i="30" s="1"/>
  <c r="F31" i="28"/>
  <c r="F83" i="28" s="1"/>
  <c r="F211" i="29"/>
</calcChain>
</file>

<file path=xl/sharedStrings.xml><?xml version="1.0" encoding="utf-8"?>
<sst xmlns="http://schemas.openxmlformats.org/spreadsheetml/2006/main" count="601" uniqueCount="375">
  <si>
    <t>관</t>
  </si>
  <si>
    <t>항</t>
  </si>
  <si>
    <t>목</t>
  </si>
  <si>
    <t xml:space="preserve"> 광 양 제 철 유 치 원</t>
    <phoneticPr fontId="4" type="noConversion"/>
  </si>
  <si>
    <t>광양제철유치원 세입·세출 예산서</t>
    <phoneticPr fontId="4" type="noConversion"/>
  </si>
  <si>
    <t xml:space="preserve">   </t>
    <phoneticPr fontId="4" type="noConversion"/>
  </si>
  <si>
    <t>(단위: 천원)</t>
    <phoneticPr fontId="7" type="noConversion"/>
  </si>
  <si>
    <t>과목</t>
  </si>
  <si>
    <t>비교증감</t>
    <phoneticPr fontId="7" type="noConversion"/>
  </si>
  <si>
    <t>산출기초(원)</t>
  </si>
  <si>
    <t>(A)</t>
    <phoneticPr fontId="7" type="noConversion"/>
  </si>
  <si>
    <t>(B)</t>
  </si>
  <si>
    <t>(A-B)</t>
  </si>
  <si>
    <t>1. 보조금및지원금</t>
  </si>
  <si>
    <t xml:space="preserve">  </t>
  </si>
  <si>
    <t>1. 공통과정지원금</t>
  </si>
  <si>
    <t>2. 방과후과정운영보조금</t>
  </si>
  <si>
    <t>1. 방과후과정운영보조금</t>
  </si>
  <si>
    <t>3. 인건비보조금</t>
  </si>
  <si>
    <t>1. 국가보조금</t>
  </si>
  <si>
    <t>2. 지방자치단체보조금</t>
  </si>
  <si>
    <t>3. 교육청보조금</t>
  </si>
  <si>
    <t>4. 자본보조금</t>
  </si>
  <si>
    <t>5. 일반운영보조금</t>
  </si>
  <si>
    <t xml:space="preserve">  </t>
    <phoneticPr fontId="7" type="noConversion"/>
  </si>
  <si>
    <t>2. 수익자부담수입</t>
  </si>
  <si>
    <t>1. 교육비</t>
  </si>
  <si>
    <t>1. 입학금</t>
  </si>
  <si>
    <t>2. 일반교육과정비</t>
  </si>
  <si>
    <t>2. 방과후과정비</t>
  </si>
  <si>
    <t>1. 방과후교육ㆍ돌봄비</t>
  </si>
  <si>
    <t>2. 방과후특성화비</t>
  </si>
  <si>
    <t>3. 급식비ㆍ간식비</t>
  </si>
  <si>
    <t>1. 일반급식비ㆍ간식비</t>
  </si>
  <si>
    <t>2. 특별급식비ㆍ간식비</t>
  </si>
  <si>
    <t>4. 그밖의수익자부담수입</t>
  </si>
  <si>
    <t>1. 현장체험학습비</t>
  </si>
  <si>
    <t>2. 통학차량이용비</t>
  </si>
  <si>
    <t>3. 졸업앨범비</t>
  </si>
  <si>
    <t>4. 그밖의교육활동수익자부담수입</t>
  </si>
  <si>
    <t>3. 설치ㆍ경영자이전수입</t>
  </si>
  <si>
    <t>1. 설치ㆍ경영자이전수입</t>
  </si>
  <si>
    <t>4. 차입금</t>
  </si>
  <si>
    <t>1. 차입금</t>
  </si>
  <si>
    <t>1. 단기차입금</t>
  </si>
  <si>
    <t>2. 장기차입금</t>
  </si>
  <si>
    <t>5. 적립금이전수입</t>
  </si>
  <si>
    <t>1. 적립금이전수입</t>
  </si>
  <si>
    <t>6. 잡수입금</t>
  </si>
  <si>
    <t>1. 잡수입금</t>
  </si>
  <si>
    <t>1. 이자수입</t>
  </si>
  <si>
    <t>2. 잡수입</t>
    <phoneticPr fontId="7" type="noConversion"/>
  </si>
  <si>
    <t>3. 행정활동수입</t>
    <phoneticPr fontId="7" type="noConversion"/>
  </si>
  <si>
    <t>7. 기부ㆍ후원금수입</t>
  </si>
  <si>
    <t>1. 기부ㆍ후원금수입</t>
  </si>
  <si>
    <t>8. 지연수납수입</t>
  </si>
  <si>
    <t>1. 지연수납수입</t>
  </si>
  <si>
    <t>9. 전년도이월액</t>
  </si>
  <si>
    <t>1. 전년도이월액</t>
  </si>
  <si>
    <t>1. 이월사업비</t>
  </si>
  <si>
    <t>2. 정산대상재원사용잔액</t>
  </si>
  <si>
    <t>3. 순세계잉여금</t>
  </si>
  <si>
    <t>세 입 합 계</t>
  </si>
  <si>
    <t>과 목</t>
  </si>
  <si>
    <t>산출기초(원)</t>
    <phoneticPr fontId="8" type="noConversion"/>
  </si>
  <si>
    <t>1. 인건비</t>
  </si>
  <si>
    <t>1. 교원인건비</t>
  </si>
  <si>
    <t>1. 급여</t>
  </si>
  <si>
    <t>2. 수당</t>
  </si>
  <si>
    <t>3. 복리후생비</t>
  </si>
  <si>
    <t>4. 법정부담금</t>
  </si>
  <si>
    <t>2. 직원인건비</t>
  </si>
  <si>
    <t>3. 그밖의인건비</t>
  </si>
  <si>
    <t>1. 그밖의인건비</t>
  </si>
  <si>
    <t>2. 운영비</t>
  </si>
  <si>
    <t>1. 관리운영비</t>
  </si>
  <si>
    <t>1. 수용비</t>
  </si>
  <si>
    <t>2. 수수료및제세공과금</t>
  </si>
  <si>
    <t>3. 연료비</t>
  </si>
  <si>
    <t>4. 여비</t>
  </si>
  <si>
    <t>5. 그밖의관리운영비</t>
  </si>
  <si>
    <t>2. 업무추진비</t>
  </si>
  <si>
    <t>1. 업무추진비</t>
  </si>
  <si>
    <t>2. 직책급업무추진비</t>
  </si>
  <si>
    <t>3. 일반교육활동비</t>
  </si>
  <si>
    <t>1. 일반교육활동비</t>
  </si>
  <si>
    <t>1. 교사연수ㆍ연구비</t>
  </si>
  <si>
    <t>2. 교재ㆍ교구구입비</t>
  </si>
  <si>
    <t>3. 행사비</t>
  </si>
  <si>
    <t>4. 장학금</t>
  </si>
  <si>
    <t>5. 복리비</t>
  </si>
  <si>
    <t>6. 일반급식비․간식비</t>
  </si>
  <si>
    <t>4. 선택적교육활동비</t>
  </si>
  <si>
    <t>1. 방과후교육활동비</t>
  </si>
  <si>
    <t>1. 방과후교육․돌봄비</t>
  </si>
  <si>
    <t>2. 그밖의교육활동비</t>
  </si>
  <si>
    <t>3. 특별급식비․간식비</t>
  </si>
  <si>
    <t>4. 졸업앨범비</t>
  </si>
  <si>
    <t>5. 적립금</t>
  </si>
  <si>
    <t>1. 적립금</t>
  </si>
  <si>
    <t>6. 상환금</t>
  </si>
  <si>
    <t>1. 상환금</t>
  </si>
  <si>
    <t>1. 단기차입금상환금</t>
  </si>
  <si>
    <t>2. 장기차입금상환금</t>
  </si>
  <si>
    <t>7. 반환금</t>
  </si>
  <si>
    <t>1. 반환금</t>
  </si>
  <si>
    <t>1. 보조금반환금</t>
  </si>
  <si>
    <t>2. 수익자반환금</t>
  </si>
  <si>
    <t>8. 시설․설비비</t>
  </si>
  <si>
    <t>1. 시설비</t>
  </si>
  <si>
    <t>1. 신․증축비</t>
  </si>
  <si>
    <t>2. 유지비</t>
  </si>
  <si>
    <t>2. 설비․비품비</t>
  </si>
  <si>
    <t>1. 취득비</t>
  </si>
  <si>
    <t>9. 지연지출금</t>
  </si>
  <si>
    <t>1. 지연지출금</t>
  </si>
  <si>
    <t>10. 잡지출</t>
  </si>
  <si>
    <t>1. 잡지출</t>
  </si>
  <si>
    <t>11. 예비비</t>
  </si>
  <si>
    <t>1. 예비비</t>
  </si>
  <si>
    <t>세 출 합 계</t>
  </si>
  <si>
    <t>(단위: 천원)</t>
    <phoneticPr fontId="8" type="noConversion"/>
  </si>
  <si>
    <t>보전수당  70,000원*1명*12월=</t>
    <phoneticPr fontId="8" type="noConversion"/>
  </si>
  <si>
    <t>직급보조비  200,000원*1명*12월=</t>
    <phoneticPr fontId="8" type="noConversion"/>
  </si>
  <si>
    <t>개인연금지원금  55,000원*1명*12월=</t>
    <phoneticPr fontId="2" type="noConversion"/>
  </si>
  <si>
    <t>정근수당가산금  125,000원*2명*12월=</t>
    <phoneticPr fontId="2" type="noConversion"/>
  </si>
  <si>
    <t>직급보조비  750,000원*12월=</t>
    <phoneticPr fontId="8" type="noConversion"/>
  </si>
  <si>
    <t>정액급식비 130,000원*2명*12월=</t>
    <phoneticPr fontId="8" type="noConversion"/>
  </si>
  <si>
    <t>스쿨뱅킹수수료  44,000원*12월=</t>
  </si>
  <si>
    <t>우편료  15,000원*12월=</t>
  </si>
  <si>
    <t>칼라프린터임차료  55,000원*2대*12월=</t>
  </si>
  <si>
    <t>공인인증서발급수수료  4,400원*1년=</t>
    <phoneticPr fontId="2" type="noConversion"/>
  </si>
  <si>
    <t>방화관리자회비  50,000원*1년=</t>
    <phoneticPr fontId="2" type="noConversion"/>
  </si>
  <si>
    <t>차량유류비(다마스)  25,000원*12월=</t>
    <phoneticPr fontId="2" type="noConversion"/>
  </si>
  <si>
    <t>직책급업무추진비  250,000원*12월=</t>
    <phoneticPr fontId="2" type="noConversion"/>
  </si>
  <si>
    <t>집합연수비  1,000,000원*1년=</t>
    <phoneticPr fontId="2" type="noConversion"/>
  </si>
  <si>
    <t>(광양시)교재교구구입지원비  285,710원*7학급=</t>
    <phoneticPr fontId="2" type="noConversion"/>
  </si>
  <si>
    <t>독서토론교육비  400,000원*1년=</t>
    <phoneticPr fontId="2" type="noConversion"/>
  </si>
  <si>
    <t>입학식및졸업식행사비  1,000,000원*1교=</t>
    <phoneticPr fontId="2" type="noConversion"/>
  </si>
  <si>
    <t>상비약품구입비  58,330원*12월=</t>
    <phoneticPr fontId="2" type="noConversion"/>
  </si>
  <si>
    <t>(광양시)차량비지원  200,000원*12월=</t>
    <phoneticPr fontId="2" type="noConversion"/>
  </si>
  <si>
    <t>5. 수익자부담재원교육활동비</t>
    <phoneticPr fontId="2" type="noConversion"/>
  </si>
  <si>
    <t>방과후과정운영비  7,000,000원*1교=</t>
    <phoneticPr fontId="2" type="noConversion"/>
  </si>
  <si>
    <t>창의력개발학습 및 교구구입지원비  2,000,000원*1교=</t>
    <phoneticPr fontId="2" type="noConversion"/>
  </si>
  <si>
    <t>차량비지원비  2,400,000원*1년=</t>
    <phoneticPr fontId="2" type="noConversion"/>
  </si>
  <si>
    <t>제1조</t>
    <phoneticPr fontId="4" type="noConversion"/>
  </si>
  <si>
    <t>제2조</t>
    <phoneticPr fontId="4" type="noConversion"/>
  </si>
  <si>
    <t>제3조</t>
    <phoneticPr fontId="4" type="noConversion"/>
  </si>
  <si>
    <t>제4조</t>
    <phoneticPr fontId="4" type="noConversion"/>
  </si>
  <si>
    <t>다만,  목적지정 전입금, 보조금, 지원금이 교부된 이후 추가경정예산을 편성하지 못할</t>
    <phoneticPr fontId="4" type="noConversion"/>
  </si>
  <si>
    <t>경우 운영위원회의 심의를 받은 것으로 간주처리 한다.</t>
    <phoneticPr fontId="4" type="noConversion"/>
  </si>
  <si>
    <t>2019학년도</t>
    <phoneticPr fontId="4" type="noConversion"/>
  </si>
  <si>
    <t>광양제철유치원 교비 
제1차 추가경정 예산서</t>
    <phoneticPr fontId="4" type="noConversion"/>
  </si>
  <si>
    <t>예산 총칙</t>
    <phoneticPr fontId="4" type="noConversion"/>
  </si>
  <si>
    <t>예산구분 : 추경1회</t>
    <phoneticPr fontId="4" type="noConversion"/>
  </si>
  <si>
    <t>예산확정일</t>
    <phoneticPr fontId="4" type="noConversion"/>
  </si>
  <si>
    <t>예산액</t>
    <phoneticPr fontId="4" type="noConversion"/>
  </si>
  <si>
    <t>2019학년도 광양제철유치원 교비회계 세입·세출 예산총액은 세입·세출 각각</t>
    <phoneticPr fontId="4" type="noConversion"/>
  </si>
  <si>
    <t>1,604,615,000원으로 하며 세입·세출의 명세는 "세입·세출예산서"와 같다.</t>
    <phoneticPr fontId="4" type="noConversion"/>
  </si>
  <si>
    <t>2019학년도 명시이월 사업은 해당사항 없다.</t>
    <phoneticPr fontId="4" type="noConversion"/>
  </si>
  <si>
    <t>다음의 경비에 부족이 생겼을 땡는 비목 상호간 또는 타 비목으로부터 이용할 수 있다.</t>
    <phoneticPr fontId="4" type="noConversion"/>
  </si>
  <si>
    <t>1. 교원 및 사무직원 인건비, 교원연구비, 관리 및 직책수당, 겸직수당</t>
    <phoneticPr fontId="4" type="noConversion"/>
  </si>
  <si>
    <t>2. 교육공무직원, 비정규직보수, 강사료</t>
    <phoneticPr fontId="4" type="noConversion"/>
  </si>
  <si>
    <t>3. 각종 공과금</t>
    <phoneticPr fontId="4" type="noConversion"/>
  </si>
  <si>
    <t>회계연도 중에 국가 또는 지방자치단체 등으로부터 그 용도가 지정되고 소요 전액이 교부된</t>
    <phoneticPr fontId="4" type="noConversion"/>
  </si>
  <si>
    <t xml:space="preserve">경비 또는 수익자부담경비는 추가경정예산의 성립 이전에 사용할 수 있으며, 이는 동일 </t>
    <phoneticPr fontId="4" type="noConversion"/>
  </si>
  <si>
    <t>회계연도내의 차기 추가경정예산에 계상하여야 한다.</t>
    <phoneticPr fontId="4" type="noConversion"/>
  </si>
  <si>
    <t>2019학년도 광양제철유치원 1차 추가경정 세출 예산명세서</t>
    <phoneticPr fontId="7" type="noConversion"/>
  </si>
  <si>
    <t>2019학년도 광양제철유치원 1차 추가경정 세입 예산명세서</t>
    <phoneticPr fontId="7" type="noConversion"/>
  </si>
  <si>
    <t>추경예산액</t>
    <phoneticPr fontId="7" type="noConversion"/>
  </si>
  <si>
    <t>기정예산액</t>
    <phoneticPr fontId="7" type="noConversion"/>
  </si>
  <si>
    <t>운영자금수입이자(MMT)  91,000원*12월=</t>
    <phoneticPr fontId="7" type="noConversion"/>
  </si>
  <si>
    <t>운영자금수입이자(보통예금)  2,510원*2회=</t>
    <phoneticPr fontId="7" type="noConversion"/>
  </si>
  <si>
    <t>운영자금수입이자(세외)  6,500원*2회=</t>
    <phoneticPr fontId="2" type="noConversion"/>
  </si>
  <si>
    <t>퇴직적립금수입이자  1,000,000원*1년=</t>
    <phoneticPr fontId="2" type="noConversion"/>
  </si>
  <si>
    <t>법인세환급금  720,000원*1년=</t>
    <phoneticPr fontId="7" type="noConversion"/>
  </si>
  <si>
    <t>순세계잉여금  54,000원*1년=</t>
    <phoneticPr fontId="7" type="noConversion"/>
  </si>
  <si>
    <t>학급운영비  3,283,340*12월=</t>
    <phoneticPr fontId="7" type="noConversion"/>
  </si>
  <si>
    <t>무상급식지원비  6,025,000원*12월=</t>
    <phoneticPr fontId="7" type="noConversion"/>
  </si>
  <si>
    <t>유아학비학부모부담지원비  3,180,000원*12월=</t>
    <phoneticPr fontId="2" type="noConversion"/>
  </si>
  <si>
    <t>유아학비지원금(누리과정)  34,321,500원*12월=</t>
    <phoneticPr fontId="7" type="noConversion"/>
  </si>
  <si>
    <t>장애유아무상교육비  4,332,000원*1명=</t>
    <phoneticPr fontId="7" type="noConversion"/>
  </si>
  <si>
    <t>놀이중심교육과정지원비  1,000,000원*1년=</t>
    <phoneticPr fontId="7" type="noConversion"/>
  </si>
  <si>
    <t>유아보호용장구구입비  8,000,000원*1교=</t>
    <phoneticPr fontId="7" type="noConversion"/>
  </si>
  <si>
    <t>저소득층유아학비추가지원금  765,000원*1명=</t>
    <phoneticPr fontId="7" type="noConversion"/>
  </si>
  <si>
    <t>입학금  100,000원*99명=</t>
    <phoneticPr fontId="7" type="noConversion"/>
  </si>
  <si>
    <t>유아학비지원금(방과후과정)  10,395,100원*12월=</t>
    <phoneticPr fontId="7" type="noConversion"/>
  </si>
  <si>
    <t>1기분수업료  10,063,670원*3개월=</t>
    <phoneticPr fontId="7" type="noConversion"/>
  </si>
  <si>
    <t>2기분수업료  10,095,000원*3개월=</t>
    <phoneticPr fontId="2" type="noConversion"/>
  </si>
  <si>
    <t>4기분수업료  10,226,000원*3개월=</t>
    <phoneticPr fontId="2" type="noConversion"/>
  </si>
  <si>
    <t>3기분수업료  9,825,670원*3개월=</t>
    <phoneticPr fontId="2" type="noConversion"/>
  </si>
  <si>
    <t>연금부담금  3,534,340원*12월=</t>
    <phoneticPr fontId="7" type="noConversion"/>
  </si>
  <si>
    <t>재해보상부담금  830,340원*12월=</t>
    <phoneticPr fontId="7" type="noConversion"/>
  </si>
  <si>
    <t>건강보험부담금  1,736,170원*12월=</t>
    <phoneticPr fontId="7" type="noConversion"/>
  </si>
  <si>
    <t>종일반교육비  11,492,670원*12월=</t>
    <phoneticPr fontId="2" type="noConversion"/>
  </si>
  <si>
    <t>방과후교육활동비 285,460원*11개월=</t>
    <phoneticPr fontId="7" type="noConversion"/>
  </si>
  <si>
    <t>현장체험학습비  11,614,000원*1년=</t>
    <phoneticPr fontId="2" type="noConversion"/>
  </si>
  <si>
    <t>유치원생간식비  2,649,250원*12월=</t>
    <phoneticPr fontId="7" type="noConversion"/>
  </si>
  <si>
    <t>교직원급식비  1,006,340원*12월=</t>
    <phoneticPr fontId="7" type="noConversion"/>
  </si>
  <si>
    <t>(수익자)교재교구구입비  1,582,500원*12월=</t>
    <phoneticPr fontId="2" type="noConversion"/>
  </si>
  <si>
    <t>중고자녀학비보조수당  1,408,000원*1명=</t>
    <phoneticPr fontId="2" type="noConversion"/>
  </si>
  <si>
    <t>봉급  3,316,300원*5명*12월=</t>
    <phoneticPr fontId="8" type="noConversion"/>
  </si>
  <si>
    <t>정근수당  1,372,200원*5명*2회=</t>
    <phoneticPr fontId="8" type="noConversion"/>
  </si>
  <si>
    <t>정근수당가산금  54,000원*5명*12월=</t>
    <phoneticPr fontId="8" type="noConversion"/>
  </si>
  <si>
    <t>가족수당  240,000원*12월=</t>
    <phoneticPr fontId="8" type="noConversion"/>
  </si>
  <si>
    <t>관리업무수당  379,830원*1명*12월=</t>
    <phoneticPr fontId="8" type="noConversion"/>
  </si>
  <si>
    <t>시간외수당(정액)  111,640원*4명*12월=</t>
    <phoneticPr fontId="8" type="noConversion"/>
  </si>
  <si>
    <t>시간외수당(일반)  20,220원*4명*12월=</t>
    <phoneticPr fontId="8" type="noConversion"/>
  </si>
  <si>
    <t>교원연구비  62,000원*5명*12월=</t>
    <phoneticPr fontId="8" type="noConversion"/>
  </si>
  <si>
    <t>명절휴가비  2,079,700원*5명*2회=</t>
    <phoneticPr fontId="8" type="noConversion"/>
  </si>
  <si>
    <t>성과상여금  4,021,750원*4명*1회=</t>
    <phoneticPr fontId="8" type="noConversion"/>
  </si>
  <si>
    <t>중고자녀학비보조수당 (법인) 1,663,000원*1명=</t>
    <phoneticPr fontId="2" type="noConversion"/>
  </si>
  <si>
    <t>제철수당  441,730원*3명*12월=</t>
    <phoneticPr fontId="8" type="noConversion"/>
  </si>
  <si>
    <t>대학자녀학비  5,000,000원*1명*1회=</t>
    <phoneticPr fontId="2" type="noConversion"/>
  </si>
  <si>
    <t>사학연금부담금  236,580원*5명*12월=</t>
    <phoneticPr fontId="8" type="noConversion"/>
  </si>
  <si>
    <t>건강보험부담금  98,780원*5명*12월=</t>
    <phoneticPr fontId="8" type="noConversion"/>
  </si>
  <si>
    <t>노인장기요양보험료  8,600원*5명*12월=</t>
    <phoneticPr fontId="8" type="noConversion"/>
  </si>
  <si>
    <t>재해보상부담금  18,260원*5명*12월=</t>
    <phoneticPr fontId="8" type="noConversion"/>
  </si>
  <si>
    <t>봉급  4,453,790원*2명*12월=</t>
    <phoneticPr fontId="2" type="noConversion"/>
  </si>
  <si>
    <t>정근수당 2,251,250원*2명*2회=</t>
    <phoneticPr fontId="2" type="noConversion"/>
  </si>
  <si>
    <t>주거지원비  300,000원*12월=</t>
    <phoneticPr fontId="2" type="noConversion"/>
  </si>
  <si>
    <t>가족수당  280,000원*12월=</t>
    <phoneticPr fontId="8" type="noConversion"/>
  </si>
  <si>
    <t>자녀학비보조수당  375,400원*4분기=</t>
    <phoneticPr fontId="8" type="noConversion"/>
  </si>
  <si>
    <t>자녀학비보조수당(법인)  547,250원*4분기=</t>
    <phoneticPr fontId="8" type="noConversion"/>
  </si>
  <si>
    <t>관리업무수당  433,660원*1명*12월=</t>
    <phoneticPr fontId="8" type="noConversion"/>
  </si>
  <si>
    <t>시간외수당(일반)  52,330원*12월=</t>
    <phoneticPr fontId="8" type="noConversion"/>
  </si>
  <si>
    <t>명절휴가비  2,683,750원*2명*2회=</t>
    <phoneticPr fontId="2" type="noConversion"/>
  </si>
  <si>
    <t>연가보상비  2,319,500원*2명=</t>
    <phoneticPr fontId="2" type="noConversion"/>
  </si>
  <si>
    <t>성과상여금  5,156,000원=</t>
    <phoneticPr fontId="8" type="noConversion"/>
  </si>
  <si>
    <t>유초자녀학비  1,500,000원*1년=</t>
    <phoneticPr fontId="2" type="noConversion"/>
  </si>
  <si>
    <t>사학연금부담금  609,080원*2명*12월=</t>
    <phoneticPr fontId="2" type="noConversion"/>
  </si>
  <si>
    <t>건강보험부담금  227,660원*2명*12월=</t>
    <phoneticPr fontId="2" type="noConversion"/>
  </si>
  <si>
    <t>장기요양보험부담금  19,910원*2명*12월=</t>
    <phoneticPr fontId="2" type="noConversion"/>
  </si>
  <si>
    <t>재해보상부담금  27,660원*2명*12월=</t>
    <phoneticPr fontId="2" type="noConversion"/>
  </si>
  <si>
    <t>(교육공무직)교통보조비  60,000원*3명*7월=</t>
    <phoneticPr fontId="8" type="noConversion"/>
  </si>
  <si>
    <t>(교육공무직)정액급식비  130,000원*3명*12월=</t>
  </si>
  <si>
    <t>(교육공무직)명절휴가비  500,000원*3명*2회=</t>
  </si>
  <si>
    <t>(교육공무직)봉급  1,713,940원*3명*12월=</t>
    <phoneticPr fontId="2" type="noConversion"/>
  </si>
  <si>
    <t>(교육공무직)장기근무가산금  67,500원*12월=</t>
    <phoneticPr fontId="2" type="noConversion"/>
  </si>
  <si>
    <t>(교육공무직)가족수당  150,000원*12월=</t>
    <phoneticPr fontId="8" type="noConversion"/>
  </si>
  <si>
    <t>(교육공무직)시간외수당  53,410원*3명*12월=</t>
    <phoneticPr fontId="2" type="noConversion"/>
  </si>
  <si>
    <t>(교육공무직)성과상여금  450,000원*2명*1회=</t>
    <phoneticPr fontId="2" type="noConversion"/>
  </si>
  <si>
    <t>(기간제교원)봉급  2,136,100원*4명*12월=</t>
    <phoneticPr fontId="2" type="noConversion"/>
  </si>
  <si>
    <t>(기간제교원)정액수당  115,830원*12월=</t>
    <phoneticPr fontId="2" type="noConversion"/>
  </si>
  <si>
    <t>(기간제교원)시간외수당  111,810원*4명*12월=</t>
    <phoneticPr fontId="2" type="noConversion"/>
  </si>
  <si>
    <t>(기간제교원)복리후생비  216,560원*4명*12월=</t>
    <phoneticPr fontId="2" type="noConversion"/>
  </si>
  <si>
    <t>(기간제교원)성과상여금  2,487,960원*5명=</t>
    <phoneticPr fontId="2" type="noConversion"/>
  </si>
  <si>
    <t>(기간제교원)기타수당  65,310원*4명*12월=</t>
    <phoneticPr fontId="2" type="noConversion"/>
  </si>
  <si>
    <t>(기간제교원)퇴직부담금  3,514,250원*4명=</t>
    <phoneticPr fontId="2" type="noConversion"/>
  </si>
  <si>
    <t>(대체교원)봉급  5,932,000원*1명=</t>
    <phoneticPr fontId="2" type="noConversion"/>
  </si>
  <si>
    <t>(교육공무직)퇴직부담금  3,000,000원*3명=</t>
    <phoneticPr fontId="2" type="noConversion"/>
  </si>
  <si>
    <t>(보조강사)봉급  1,306,770원*4명*12월=</t>
    <phoneticPr fontId="2" type="noConversion"/>
  </si>
  <si>
    <t>(보건강사)봉급  2,541,160원*1명*12월=</t>
    <phoneticPr fontId="2" type="noConversion"/>
  </si>
  <si>
    <t>(보조강사)퇴직부담금  2,107,400원*4명=</t>
    <phoneticPr fontId="2" type="noConversion"/>
  </si>
  <si>
    <t>(보건강사)퇴직부담금  2,107,400원*1명=</t>
    <phoneticPr fontId="2" type="noConversion"/>
  </si>
  <si>
    <t>(비정규교원)국민연금부담금  91,310원*9명*12월=</t>
    <phoneticPr fontId="2" type="noConversion"/>
  </si>
  <si>
    <t>(비정규교원)건강보험부담금  45,830원*9명*12월=</t>
    <phoneticPr fontId="2" type="noConversion"/>
  </si>
  <si>
    <t>(비정규교원)장기요양보험부담금  3,940원*9명*12월=</t>
    <phoneticPr fontId="2" type="noConversion"/>
  </si>
  <si>
    <t>(비정규교원)고용보험부담금  36,140원*9명*12월=</t>
    <phoneticPr fontId="2" type="noConversion"/>
  </si>
  <si>
    <t>(비정규교원)산재보험부담금  21,430원*9명*12월=</t>
    <phoneticPr fontId="2" type="noConversion"/>
  </si>
  <si>
    <t>(교육공무직)국민연금부담금 103,830원*3명*12월=</t>
    <phoneticPr fontId="2" type="noConversion"/>
  </si>
  <si>
    <t>(교육공무직)건강보험부담금  78,600원*3명*12월=</t>
    <phoneticPr fontId="2" type="noConversion"/>
  </si>
  <si>
    <t>(교육공무직)장기요양보험부담금  6,800원*3명*12월=</t>
    <phoneticPr fontId="2" type="noConversion"/>
  </si>
  <si>
    <t>(교육공무직)고용보험부담금  34,660원*3명*12월=</t>
    <phoneticPr fontId="2" type="noConversion"/>
  </si>
  <si>
    <t>(교육공무직)산재보험부담금  20,550원*3명*12월=</t>
    <phoneticPr fontId="2" type="noConversion"/>
  </si>
  <si>
    <t>전화료  25,830원*12월=</t>
    <phoneticPr fontId="2" type="noConversion"/>
  </si>
  <si>
    <t>수도료  111,250원*12월=</t>
    <phoneticPr fontId="2" type="noConversion"/>
  </si>
  <si>
    <t>재산세  2,359,000원*1년=</t>
    <phoneticPr fontId="2" type="noConversion"/>
  </si>
  <si>
    <t>난방비  203,160원*6월=</t>
    <phoneticPr fontId="2" type="noConversion"/>
  </si>
  <si>
    <t>유틸리티수익자부담금  126,660원*12월=</t>
    <phoneticPr fontId="2" type="noConversion"/>
  </si>
  <si>
    <t>가스요금  60,330원*12월=</t>
    <phoneticPr fontId="2" type="noConversion"/>
  </si>
  <si>
    <t>자동차세(다마스)  27000원*1회=</t>
    <phoneticPr fontId="2" type="noConversion"/>
  </si>
  <si>
    <t>종합보험료(다마스)  700,000원*1회=</t>
    <phoneticPr fontId="2" type="noConversion"/>
  </si>
  <si>
    <t>차량운영비(다마스)  30,000원*2회=</t>
    <phoneticPr fontId="2" type="noConversion"/>
  </si>
  <si>
    <t>홈페이지유지보수료  3,990,000원*1년=</t>
    <phoneticPr fontId="2" type="noConversion"/>
  </si>
  <si>
    <t>기타수수료  78,580원*12월=</t>
    <phoneticPr fontId="2" type="noConversion"/>
  </si>
  <si>
    <t>무인경비수수료  104,500원*12월=</t>
    <phoneticPr fontId="2" type="noConversion"/>
  </si>
  <si>
    <t>방역소독비  70,000원*5회=</t>
    <phoneticPr fontId="2" type="noConversion"/>
  </si>
  <si>
    <t>재정보증보험료  44,000원*1년=</t>
    <phoneticPr fontId="2" type="noConversion"/>
  </si>
  <si>
    <t>정수기관리비  84,750원*12월=</t>
    <phoneticPr fontId="2" type="noConversion"/>
  </si>
  <si>
    <t>통학버스임차료  1,792,330원*12월=</t>
    <phoneticPr fontId="2" type="noConversion"/>
  </si>
  <si>
    <t>환경직활동비  641,000원*12월=</t>
    <phoneticPr fontId="2" type="noConversion"/>
  </si>
  <si>
    <t>일반비품수선비  90,000원*4분기=</t>
    <phoneticPr fontId="2" type="noConversion"/>
  </si>
  <si>
    <t>복사기임차료  208,750원*12월=</t>
    <phoneticPr fontId="2" type="noConversion"/>
  </si>
  <si>
    <t>도서구입비  911,000원*1년=</t>
    <phoneticPr fontId="2" type="noConversion"/>
  </si>
  <si>
    <t>정기간행물및기타도서인쇄비  594,000원*1년=</t>
    <phoneticPr fontId="2" type="noConversion"/>
  </si>
  <si>
    <t>업무협의회  552,000원*4분기=</t>
    <phoneticPr fontId="2" type="noConversion"/>
  </si>
  <si>
    <t>유치원운영위원회  1,195,000원*1년=</t>
    <phoneticPr fontId="2" type="noConversion"/>
  </si>
  <si>
    <t>특근식대  262,500원*4분기=</t>
    <phoneticPr fontId="2" type="noConversion"/>
  </si>
  <si>
    <t>체육행사비  1,000,000원*1년=</t>
    <phoneticPr fontId="2" type="noConversion"/>
  </si>
  <si>
    <t>학예회행사비  1,500,000원*1회=</t>
    <phoneticPr fontId="2" type="noConversion"/>
  </si>
  <si>
    <t>입학설명회  1,011,000원*1년=</t>
    <phoneticPr fontId="2" type="noConversion"/>
  </si>
  <si>
    <t>학부모참관수업  2,056,000원*1교=</t>
    <phoneticPr fontId="2" type="noConversion"/>
  </si>
  <si>
    <t>기타행사비  450,000원*1회=</t>
    <phoneticPr fontId="2" type="noConversion"/>
  </si>
  <si>
    <t>노인일자리사업  22,000원*9개월=</t>
    <phoneticPr fontId="2" type="noConversion"/>
  </si>
  <si>
    <t>위탁연수비용  280,000원*1년=</t>
    <phoneticPr fontId="2" type="noConversion"/>
  </si>
  <si>
    <t>녹화협력작업비  1,873,250원*4분기=</t>
    <phoneticPr fontId="2" type="noConversion"/>
  </si>
  <si>
    <t>소방설비법정안전점검  315,000원*2회=</t>
    <phoneticPr fontId="2" type="noConversion"/>
  </si>
  <si>
    <t>학생안전공제회비  341,850원*1년=</t>
    <phoneticPr fontId="2" type="noConversion"/>
  </si>
  <si>
    <t>(교육청)방과후과정지원금  124,741,000원*1년=</t>
    <phoneticPr fontId="2" type="noConversion"/>
  </si>
  <si>
    <t>(교육청)저소득층유아학비지원금 765,000원*1명=</t>
    <phoneticPr fontId="2" type="noConversion"/>
  </si>
  <si>
    <t>(교육청)장애유아무상교육비  4,332,000원*1명=</t>
    <phoneticPr fontId="2" type="noConversion"/>
  </si>
  <si>
    <t>(교육청)방과후과정운영비  7,000,000원*1년=</t>
    <phoneticPr fontId="2" type="noConversion"/>
  </si>
  <si>
    <t>방과후지도강사비  7,454,540원*11월=</t>
    <phoneticPr fontId="2" type="noConversion"/>
  </si>
  <si>
    <t>종일반강사료  1,479,160원*4명*12월=</t>
    <phoneticPr fontId="2" type="noConversion"/>
  </si>
  <si>
    <t>수업보조원활동비  5,500,000원*12월=</t>
    <phoneticPr fontId="2" type="noConversion"/>
  </si>
  <si>
    <t>방과후활동전기료  642,000원*12월=</t>
    <phoneticPr fontId="2" type="noConversion"/>
  </si>
  <si>
    <t>방과후영어교재비  1,530,000원*11월=</t>
    <phoneticPr fontId="2" type="noConversion"/>
  </si>
  <si>
    <t>방과후과정간식비  62,000원*15일*2학기=</t>
    <phoneticPr fontId="2" type="noConversion"/>
  </si>
  <si>
    <t>방과후과정급식비  208,000원*15일*2학기=</t>
    <phoneticPr fontId="2" type="noConversion"/>
  </si>
  <si>
    <t>방과후과정운영비  1,179,910원*12월=</t>
    <phoneticPr fontId="2" type="noConversion"/>
  </si>
  <si>
    <t>(교육청)놀이중심교육과정운영비  1,000,000원*1년=</t>
    <phoneticPr fontId="2" type="noConversion"/>
  </si>
  <si>
    <t>(광양시)학교급식지원비  6,025,000원*12월=</t>
    <phoneticPr fontId="2" type="noConversion"/>
  </si>
  <si>
    <t>잡지출  60,000원*12월=</t>
    <phoneticPr fontId="2" type="noConversion"/>
  </si>
  <si>
    <t>급식실 오븐  3,790,000원*1대=</t>
    <phoneticPr fontId="2" type="noConversion"/>
  </si>
  <si>
    <t>급식실 냉장고  1,584,810원*1대=</t>
    <phoneticPr fontId="2" type="noConversion"/>
  </si>
  <si>
    <t>3인용소파  1,570,000원*1세트=</t>
    <phoneticPr fontId="2" type="noConversion"/>
  </si>
  <si>
    <t>신장계  550,000원*1개=</t>
    <phoneticPr fontId="2" type="noConversion"/>
  </si>
  <si>
    <t>제초기  735,700원*1개=</t>
    <phoneticPr fontId="2" type="noConversion"/>
  </si>
  <si>
    <t>주방기구소독기  1,770,000원*1대=</t>
    <phoneticPr fontId="2" type="noConversion"/>
  </si>
  <si>
    <t>식기세척기  2,395,800원*1대=</t>
    <phoneticPr fontId="2" type="noConversion"/>
  </si>
  <si>
    <t>나무벤치  390,000원*2개=</t>
    <phoneticPr fontId="2" type="noConversion"/>
  </si>
  <si>
    <t>보건실 냉장고  188,000원*1대=</t>
    <phoneticPr fontId="2" type="noConversion"/>
  </si>
  <si>
    <t>음주측정기  220,000원*1개=</t>
    <phoneticPr fontId="2" type="noConversion"/>
  </si>
  <si>
    <t>비데  225,000원*2개=</t>
    <phoneticPr fontId="2" type="noConversion"/>
  </si>
  <si>
    <t>원장실 냉장고  363,810원*1대=</t>
    <phoneticPr fontId="2" type="noConversion"/>
  </si>
  <si>
    <t>1인용소파  380,000원*1개=</t>
    <phoneticPr fontId="2" type="noConversion"/>
  </si>
  <si>
    <t>식탁  251,000원*3세트=</t>
    <phoneticPr fontId="2" type="noConversion"/>
  </si>
  <si>
    <t>응접테이블  275,000원*1개=</t>
    <phoneticPr fontId="2" type="noConversion"/>
  </si>
  <si>
    <t>체온계  110,000원*1개=</t>
    <phoneticPr fontId="2" type="noConversion"/>
  </si>
  <si>
    <t>통신협력작업비  276,250원*12월=</t>
    <phoneticPr fontId="2" type="noConversion"/>
  </si>
  <si>
    <t>왁스작업및소수리재료비  265,250원*12월=</t>
    <phoneticPr fontId="2" type="noConversion"/>
  </si>
  <si>
    <t>학교건물유지비  1,569,750원*12월=</t>
    <phoneticPr fontId="2" type="noConversion"/>
  </si>
  <si>
    <t>휴대전화사용료지원  40,000원*2대*12월=</t>
    <phoneticPr fontId="2" type="noConversion"/>
  </si>
  <si>
    <t>차량유류비(원장)    218,250원*12월=</t>
    <phoneticPr fontId="2" type="noConversion"/>
  </si>
  <si>
    <t>교직원급식비  1,006,330원*12월=</t>
    <phoneticPr fontId="2" type="noConversion"/>
  </si>
  <si>
    <t>유치원생간식비  2,890,090원*11개월=</t>
    <phoneticPr fontId="2" type="noConversion"/>
  </si>
  <si>
    <t>전산용품비  190,000원*1년=</t>
  </si>
  <si>
    <t>국내여비  548,000원*12월=</t>
    <phoneticPr fontId="2" type="noConversion"/>
  </si>
  <si>
    <t>현장체험학습인솔여비  2,283,000원*1년=</t>
    <phoneticPr fontId="2" type="noConversion"/>
  </si>
  <si>
    <t>일반교육교재비  539,710원*7학급=</t>
    <phoneticPr fontId="2" type="noConversion"/>
  </si>
  <si>
    <t>일반용품비  1,398,410원*12월=</t>
    <phoneticPr fontId="2" type="noConversion"/>
  </si>
  <si>
    <t>학교운영비  28,779,830원*12월=</t>
    <phoneticPr fontId="7" type="noConversion"/>
  </si>
  <si>
    <t>법인카드포인트수입  34,330원*12월=</t>
    <phoneticPr fontId="7" type="noConversion"/>
  </si>
  <si>
    <t>설치·경영자이전수입</t>
    <phoneticPr fontId="2" type="noConversion"/>
  </si>
  <si>
    <t>전년도이월금</t>
    <phoneticPr fontId="2" type="noConversion"/>
  </si>
  <si>
    <t>선택적교육활동비</t>
    <phoneticPr fontId="2" type="noConversion"/>
  </si>
  <si>
    <t>시설·설비비</t>
    <phoneticPr fontId="2" type="noConversion"/>
  </si>
  <si>
    <t>계</t>
    <phoneticPr fontId="2" type="noConversion"/>
  </si>
  <si>
    <t>세입·세출 예산 총괄</t>
    <phoneticPr fontId="2" type="noConversion"/>
  </si>
  <si>
    <t>예산구분</t>
    <phoneticPr fontId="2" type="noConversion"/>
  </si>
  <si>
    <t>추경1회</t>
    <phoneticPr fontId="2" type="noConversion"/>
  </si>
  <si>
    <t>경정예산액</t>
    <phoneticPr fontId="2" type="noConversion"/>
  </si>
  <si>
    <t>기정예산액</t>
    <phoneticPr fontId="2" type="noConversion"/>
  </si>
  <si>
    <t>비교증감</t>
    <phoneticPr fontId="2" type="noConversion"/>
  </si>
  <si>
    <t>2019</t>
    <phoneticPr fontId="2" type="noConversion"/>
  </si>
  <si>
    <t>광양제철유치원</t>
    <phoneticPr fontId="2" type="noConversion"/>
  </si>
  <si>
    <t>회계연도 :</t>
    <phoneticPr fontId="2" type="noConversion"/>
  </si>
  <si>
    <t xml:space="preserve">예산구분 : </t>
    <phoneticPr fontId="2" type="noConversion"/>
  </si>
  <si>
    <t xml:space="preserve">기 관 명 : </t>
    <phoneticPr fontId="2" type="noConversion"/>
  </si>
  <si>
    <t>(단위 : 천원)</t>
    <phoneticPr fontId="2" type="noConversion"/>
  </si>
  <si>
    <t>인건비</t>
    <phoneticPr fontId="2" type="noConversion"/>
  </si>
  <si>
    <t>수익자부담수입</t>
    <phoneticPr fontId="2" type="noConversion"/>
  </si>
  <si>
    <t>운영비</t>
    <phoneticPr fontId="2" type="noConversion"/>
  </si>
  <si>
    <t>일반교육활동비</t>
    <phoneticPr fontId="2" type="noConversion"/>
  </si>
  <si>
    <t>잡수입금</t>
    <phoneticPr fontId="2" type="noConversion"/>
  </si>
  <si>
    <t>예비비</t>
    <phoneticPr fontId="2" type="noConversion"/>
  </si>
  <si>
    <t>보조금및지원금</t>
    <phoneticPr fontId="2" type="noConversion"/>
  </si>
  <si>
    <t>반환금</t>
    <phoneticPr fontId="2" type="noConversion"/>
  </si>
  <si>
    <t>세    입</t>
    <phoneticPr fontId="2" type="noConversion"/>
  </si>
  <si>
    <t>세    출</t>
    <phoneticPr fontId="2" type="noConversion"/>
  </si>
  <si>
    <t>관</t>
    <phoneticPr fontId="2" type="noConversion"/>
  </si>
  <si>
    <t>금액</t>
    <phoneticPr fontId="2" type="noConversion"/>
  </si>
  <si>
    <t>관</t>
    <phoneticPr fontId="2" type="noConversion"/>
  </si>
  <si>
    <t>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</si>
</sst>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;&quot;△&quot;#,##0"/>
    <numFmt numFmtId="177" formatCode="_ * #,##0_ ;_ * \-#,##0_ ;_ * &quot;-&quot;_ ;_ @_ "/>
    <numFmt numFmtId="178" formatCode="_ * #,##0.00_ ;_ * \-#,##0.00_ ;_ * &quot;-&quot;??_ ;_ @_ "/>
    <numFmt numFmtId="179" formatCode="#,##0&quot;원&quot;"/>
    <numFmt numFmtId="180" formatCode="#,###;\△#,###"/>
  </numFmts>
  <fonts count="29">
    <font>
      <sz val="10"/>
      <name val="바탕"/>
      <family val="1"/>
      <charset val="129"/>
    </font>
    <font>
      <sz val="10"/>
      <name val="바탕"/>
      <family val="1"/>
      <charset val="129"/>
    </font>
    <font>
      <sz val="8"/>
      <name val="바탕"/>
      <family val="1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u/>
      <sz val="16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5" fillId="0" borderId="0"/>
    <xf numFmtId="9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>
      <alignment vertical="center"/>
    </xf>
  </cellStyleXfs>
  <cellXfs count="400">
    <xf numFmtId="0" fontId="0" fillId="0" borderId="0" xfId="0"/>
    <xf numFmtId="0" fontId="9" fillId="0" borderId="0" xfId="0" applyFont="1" applyAlignment="1">
      <alignment horizontal="right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11" fillId="0" borderId="1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4" borderId="17" xfId="0" applyFont="1" applyFill="1" applyBorder="1" applyAlignment="1">
      <alignment horizontal="justify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1" fontId="11" fillId="0" borderId="31" xfId="3" applyFont="1" applyBorder="1" applyAlignment="1">
      <alignment vertical="center" wrapText="1"/>
    </xf>
    <xf numFmtId="41" fontId="11" fillId="0" borderId="26" xfId="3" applyFont="1" applyBorder="1" applyAlignment="1">
      <alignment vertical="center" wrapText="1"/>
    </xf>
    <xf numFmtId="41" fontId="11" fillId="0" borderId="4" xfId="3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63" xfId="0" applyFont="1" applyBorder="1" applyAlignment="1">
      <alignment horizontal="justify" vertical="center" wrapText="1"/>
    </xf>
    <xf numFmtId="41" fontId="10" fillId="3" borderId="26" xfId="3" applyFont="1" applyFill="1" applyBorder="1" applyAlignment="1">
      <alignment vertical="center" wrapText="1"/>
    </xf>
    <xf numFmtId="41" fontId="11" fillId="4" borderId="30" xfId="3" applyFont="1" applyFill="1" applyBorder="1" applyAlignment="1">
      <alignment vertical="center" wrapText="1"/>
    </xf>
    <xf numFmtId="41" fontId="11" fillId="0" borderId="30" xfId="3" applyFont="1" applyBorder="1" applyAlignment="1">
      <alignment vertical="center" wrapText="1"/>
    </xf>
    <xf numFmtId="41" fontId="10" fillId="3" borderId="30" xfId="3" applyFont="1" applyFill="1" applyBorder="1" applyAlignment="1">
      <alignment vertical="center" wrapText="1"/>
    </xf>
    <xf numFmtId="41" fontId="11" fillId="0" borderId="1" xfId="3" applyFont="1" applyBorder="1" applyAlignment="1">
      <alignment vertical="center" wrapText="1"/>
    </xf>
    <xf numFmtId="41" fontId="11" fillId="0" borderId="6" xfId="3" applyFont="1" applyBorder="1" applyAlignment="1">
      <alignment vertical="center" wrapText="1"/>
    </xf>
    <xf numFmtId="41" fontId="11" fillId="0" borderId="33" xfId="3" applyFont="1" applyBorder="1" applyAlignment="1">
      <alignment vertical="center" wrapText="1"/>
    </xf>
    <xf numFmtId="41" fontId="10" fillId="6" borderId="34" xfId="3" applyFont="1" applyFill="1" applyBorder="1" applyAlignment="1">
      <alignment vertical="center" wrapText="1"/>
    </xf>
    <xf numFmtId="41" fontId="10" fillId="3" borderId="4" xfId="3" applyFont="1" applyFill="1" applyBorder="1" applyAlignment="1">
      <alignment vertical="center" wrapText="1"/>
    </xf>
    <xf numFmtId="41" fontId="11" fillId="4" borderId="26" xfId="3" applyFont="1" applyFill="1" applyBorder="1" applyAlignment="1">
      <alignment vertical="center" wrapText="1"/>
    </xf>
    <xf numFmtId="41" fontId="11" fillId="4" borderId="66" xfId="3" applyFont="1" applyFill="1" applyBorder="1" applyAlignment="1">
      <alignment vertical="center" wrapText="1"/>
    </xf>
    <xf numFmtId="41" fontId="11" fillId="0" borderId="67" xfId="3" applyFont="1" applyBorder="1" applyAlignment="1">
      <alignment vertical="center" wrapText="1"/>
    </xf>
    <xf numFmtId="0" fontId="11" fillId="3" borderId="69" xfId="0" applyFont="1" applyFill="1" applyBorder="1" applyAlignment="1">
      <alignment horizontal="justify" vertical="center" wrapText="1"/>
    </xf>
    <xf numFmtId="0" fontId="11" fillId="4" borderId="47" xfId="0" applyFont="1" applyFill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11" fillId="4" borderId="21" xfId="0" applyFont="1" applyFill="1" applyBorder="1" applyAlignment="1">
      <alignment horizontal="justify" vertical="center" wrapText="1"/>
    </xf>
    <xf numFmtId="0" fontId="11" fillId="0" borderId="70" xfId="0" applyFont="1" applyBorder="1" applyAlignment="1">
      <alignment horizontal="justify" vertical="center" wrapText="1"/>
    </xf>
    <xf numFmtId="0" fontId="11" fillId="3" borderId="21" xfId="0" applyFont="1" applyFill="1" applyBorder="1" applyAlignment="1">
      <alignment horizontal="justify" vertical="center" wrapText="1"/>
    </xf>
    <xf numFmtId="0" fontId="11" fillId="5" borderId="19" xfId="0" applyFont="1" applyFill="1" applyBorder="1" applyAlignment="1">
      <alignment horizontal="justify" vertical="center" wrapText="1"/>
    </xf>
    <xf numFmtId="0" fontId="11" fillId="5" borderId="17" xfId="0" applyFont="1" applyFill="1" applyBorder="1" applyAlignment="1">
      <alignment horizontal="justify" vertical="center" wrapText="1"/>
    </xf>
    <xf numFmtId="0" fontId="11" fillId="3" borderId="17" xfId="0" applyFont="1" applyFill="1" applyBorder="1" applyAlignment="1">
      <alignment horizontal="justify" vertical="center" wrapText="1"/>
    </xf>
    <xf numFmtId="0" fontId="11" fillId="0" borderId="20" xfId="0" quotePrefix="1" applyFont="1" applyBorder="1" applyAlignment="1">
      <alignment horizontal="justify" vertical="center" wrapText="1"/>
    </xf>
    <xf numFmtId="179" fontId="11" fillId="4" borderId="62" xfId="0" applyNumberFormat="1" applyFont="1" applyFill="1" applyBorder="1" applyAlignment="1">
      <alignment horizontal="right" vertical="center" wrapText="1"/>
    </xf>
    <xf numFmtId="179" fontId="11" fillId="0" borderId="58" xfId="0" applyNumberFormat="1" applyFont="1" applyBorder="1" applyAlignment="1">
      <alignment horizontal="right" vertical="center" wrapText="1"/>
    </xf>
    <xf numFmtId="179" fontId="11" fillId="0" borderId="7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179" fontId="11" fillId="3" borderId="74" xfId="0" applyNumberFormat="1" applyFont="1" applyFill="1" applyBorder="1" applyAlignment="1">
      <alignment horizontal="right" vertical="center" wrapText="1"/>
    </xf>
    <xf numFmtId="179" fontId="11" fillId="4" borderId="56" xfId="0" applyNumberFormat="1" applyFont="1" applyFill="1" applyBorder="1" applyAlignment="1">
      <alignment horizontal="right" vertical="center" wrapText="1"/>
    </xf>
    <xf numFmtId="179" fontId="11" fillId="0" borderId="54" xfId="0" applyNumberFormat="1" applyFont="1" applyBorder="1" applyAlignment="1">
      <alignment horizontal="right" vertical="center" wrapText="1"/>
    </xf>
    <xf numFmtId="179" fontId="11" fillId="0" borderId="56" xfId="0" applyNumberFormat="1" applyFont="1" applyBorder="1" applyAlignment="1">
      <alignment horizontal="right" vertical="center" wrapText="1"/>
    </xf>
    <xf numFmtId="179" fontId="11" fillId="4" borderId="53" xfId="0" applyNumberFormat="1" applyFont="1" applyFill="1" applyBorder="1" applyAlignment="1">
      <alignment horizontal="right" vertical="center" wrapText="1"/>
    </xf>
    <xf numFmtId="179" fontId="11" fillId="0" borderId="53" xfId="0" applyNumberFormat="1" applyFont="1" applyBorder="1" applyAlignment="1">
      <alignment horizontal="right" vertical="center" wrapText="1"/>
    </xf>
    <xf numFmtId="179" fontId="11" fillId="0" borderId="5" xfId="0" applyNumberFormat="1" applyFont="1" applyBorder="1" applyAlignment="1">
      <alignment horizontal="right" vertical="center" wrapText="1"/>
    </xf>
    <xf numFmtId="179" fontId="11" fillId="3" borderId="56" xfId="0" applyNumberFormat="1" applyFont="1" applyFill="1" applyBorder="1" applyAlignment="1">
      <alignment horizontal="right" vertical="center" wrapText="1"/>
    </xf>
    <xf numFmtId="179" fontId="11" fillId="5" borderId="54" xfId="0" applyNumberFormat="1" applyFont="1" applyFill="1" applyBorder="1" applyAlignment="1">
      <alignment horizontal="right" vertical="center" wrapText="1"/>
    </xf>
    <xf numFmtId="0" fontId="11" fillId="0" borderId="25" xfId="0" applyFont="1" applyBorder="1" applyAlignment="1">
      <alignment vertical="center" wrapText="1"/>
    </xf>
    <xf numFmtId="179" fontId="11" fillId="5" borderId="53" xfId="0" applyNumberFormat="1" applyFont="1" applyFill="1" applyBorder="1" applyAlignment="1">
      <alignment horizontal="right" vertical="center" wrapText="1"/>
    </xf>
    <xf numFmtId="179" fontId="11" fillId="3" borderId="53" xfId="0" applyNumberFormat="1" applyFont="1" applyFill="1" applyBorder="1" applyAlignment="1">
      <alignment horizontal="right" vertical="center" wrapText="1"/>
    </xf>
    <xf numFmtId="0" fontId="11" fillId="0" borderId="27" xfId="0" applyFont="1" applyBorder="1" applyAlignment="1">
      <alignment horizontal="justify" vertical="center" wrapText="1"/>
    </xf>
    <xf numFmtId="179" fontId="11" fillId="0" borderId="55" xfId="0" quotePrefix="1" applyNumberFormat="1" applyFont="1" applyBorder="1" applyAlignment="1">
      <alignment horizontal="right" vertical="center" wrapText="1"/>
    </xf>
    <xf numFmtId="0" fontId="11" fillId="0" borderId="29" xfId="0" applyFont="1" applyBorder="1" applyAlignment="1">
      <alignment horizontal="justify" vertical="center" wrapText="1"/>
    </xf>
    <xf numFmtId="179" fontId="11" fillId="0" borderId="60" xfId="0" applyNumberFormat="1" applyFont="1" applyBorder="1" applyAlignment="1">
      <alignment horizontal="right" vertical="center" wrapText="1"/>
    </xf>
    <xf numFmtId="0" fontId="10" fillId="6" borderId="76" xfId="0" applyFont="1" applyFill="1" applyBorder="1" applyAlignment="1">
      <alignment horizontal="justify" vertical="center" wrapText="1"/>
    </xf>
    <xf numFmtId="179" fontId="10" fillId="6" borderId="77" xfId="0" applyNumberFormat="1" applyFont="1" applyFill="1" applyBorder="1" applyAlignment="1">
      <alignment horizontal="right" vertical="center" wrapText="1"/>
    </xf>
    <xf numFmtId="41" fontId="10" fillId="2" borderId="23" xfId="3" applyFont="1" applyFill="1" applyBorder="1" applyAlignment="1">
      <alignment horizontal="center" wrapText="1"/>
    </xf>
    <xf numFmtId="41" fontId="10" fillId="2" borderId="23" xfId="3" applyFont="1" applyFill="1" applyBorder="1" applyAlignment="1">
      <alignment horizontal="center" shrinkToFit="1"/>
    </xf>
    <xf numFmtId="41" fontId="12" fillId="2" borderId="39" xfId="3" applyFont="1" applyFill="1" applyBorder="1" applyAlignment="1">
      <alignment horizontal="center" vertical="top" wrapText="1"/>
    </xf>
    <xf numFmtId="41" fontId="10" fillId="2" borderId="12" xfId="3" applyFont="1" applyFill="1" applyBorder="1" applyAlignment="1">
      <alignment horizontal="center" vertical="top" wrapText="1"/>
    </xf>
    <xf numFmtId="180" fontId="10" fillId="2" borderId="23" xfId="3" applyNumberFormat="1" applyFont="1" applyFill="1" applyBorder="1" applyAlignment="1">
      <alignment horizontal="center" wrapText="1"/>
    </xf>
    <xf numFmtId="41" fontId="10" fillId="3" borderId="66" xfId="3" applyFont="1" applyFill="1" applyBorder="1" applyAlignment="1">
      <alignment vertical="center" wrapText="1"/>
    </xf>
    <xf numFmtId="0" fontId="11" fillId="3" borderId="47" xfId="0" applyFont="1" applyFill="1" applyBorder="1" applyAlignment="1">
      <alignment horizontal="justify" vertical="center" wrapText="1"/>
    </xf>
    <xf numFmtId="179" fontId="11" fillId="3" borderId="62" xfId="0" applyNumberFormat="1" applyFont="1" applyFill="1" applyBorder="1" applyAlignment="1">
      <alignment horizontal="right" vertical="center" wrapText="1"/>
    </xf>
    <xf numFmtId="0" fontId="14" fillId="0" borderId="0" xfId="9" applyFont="1">
      <alignment vertical="center"/>
    </xf>
    <xf numFmtId="0" fontId="15" fillId="0" borderId="0" xfId="9" applyFont="1" applyAlignment="1">
      <alignment horizontal="left"/>
    </xf>
    <xf numFmtId="0" fontId="16" fillId="0" borderId="0" xfId="9" applyFont="1" applyAlignment="1">
      <alignment horizontal="left"/>
    </xf>
    <xf numFmtId="0" fontId="17" fillId="0" borderId="0" xfId="9" applyFont="1" applyAlignment="1">
      <alignment horizontal="left"/>
    </xf>
    <xf numFmtId="0" fontId="14" fillId="0" borderId="0" xfId="9" applyFont="1" applyAlignment="1">
      <alignment horizontal="right" vertical="center"/>
    </xf>
    <xf numFmtId="0" fontId="19" fillId="0" borderId="0" xfId="9" applyFont="1" applyAlignment="1">
      <alignment horizontal="centerContinuous" vertical="center"/>
    </xf>
    <xf numFmtId="0" fontId="20" fillId="0" borderId="0" xfId="9" applyFont="1" applyAlignment="1">
      <alignment horizontal="center"/>
    </xf>
    <xf numFmtId="176" fontId="22" fillId="0" borderId="0" xfId="8" applyNumberFormat="1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180" fontId="21" fillId="0" borderId="0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41" fontId="11" fillId="0" borderId="0" xfId="3" applyFont="1" applyFill="1" applyBorder="1" applyAlignment="1">
      <alignment vertical="center"/>
    </xf>
    <xf numFmtId="180" fontId="11" fillId="0" borderId="0" xfId="3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right" shrinkToFit="1"/>
    </xf>
    <xf numFmtId="0" fontId="10" fillId="7" borderId="78" xfId="0" applyFont="1" applyFill="1" applyBorder="1" applyAlignment="1">
      <alignment horizontal="center" vertical="center" wrapText="1"/>
    </xf>
    <xf numFmtId="0" fontId="10" fillId="7" borderId="79" xfId="0" applyFont="1" applyFill="1" applyBorder="1" applyAlignment="1">
      <alignment horizontal="center" vertical="center" wrapText="1"/>
    </xf>
    <xf numFmtId="41" fontId="10" fillId="8" borderId="16" xfId="3" applyFont="1" applyFill="1" applyBorder="1" applyAlignment="1">
      <alignment horizontal="right" vertical="center" wrapText="1"/>
    </xf>
    <xf numFmtId="180" fontId="10" fillId="8" borderId="16" xfId="3" applyNumberFormat="1" applyFont="1" applyFill="1" applyBorder="1" applyAlignment="1">
      <alignment horizontal="right" vertical="center" wrapText="1"/>
    </xf>
    <xf numFmtId="49" fontId="11" fillId="8" borderId="21" xfId="0" applyNumberFormat="1" applyFont="1" applyFill="1" applyBorder="1" applyAlignment="1">
      <alignment horizontal="justify" vertical="center" shrinkToFit="1"/>
    </xf>
    <xf numFmtId="179" fontId="11" fillId="8" borderId="56" xfId="0" applyNumberFormat="1" applyFont="1" applyFill="1" applyBorder="1" applyAlignment="1">
      <alignment vertical="center" shrinkToFit="1"/>
    </xf>
    <xf numFmtId="0" fontId="11" fillId="0" borderId="25" xfId="0" applyFont="1" applyFill="1" applyBorder="1" applyAlignment="1">
      <alignment vertical="center" wrapText="1"/>
    </xf>
    <xf numFmtId="41" fontId="11" fillId="9" borderId="13" xfId="3" applyFont="1" applyFill="1" applyBorder="1" applyAlignment="1">
      <alignment horizontal="right" vertical="center" wrapText="1"/>
    </xf>
    <xf numFmtId="180" fontId="11" fillId="9" borderId="13" xfId="3" applyNumberFormat="1" applyFont="1" applyFill="1" applyBorder="1" applyAlignment="1">
      <alignment horizontal="right" vertical="center" wrapText="1"/>
    </xf>
    <xf numFmtId="49" fontId="11" fillId="9" borderId="40" xfId="0" applyNumberFormat="1" applyFont="1" applyFill="1" applyBorder="1" applyAlignment="1">
      <alignment horizontal="justify" vertical="center" shrinkToFit="1"/>
    </xf>
    <xf numFmtId="179" fontId="11" fillId="9" borderId="53" xfId="0" applyNumberFormat="1" applyFont="1" applyFill="1" applyBorder="1" applyAlignment="1">
      <alignment vertical="center" shrinkToFit="1"/>
    </xf>
    <xf numFmtId="0" fontId="11" fillId="0" borderId="19" xfId="0" applyFont="1" applyFill="1" applyBorder="1" applyAlignment="1">
      <alignment vertical="center" wrapText="1"/>
    </xf>
    <xf numFmtId="41" fontId="11" fillId="0" borderId="10" xfId="3" applyFont="1" applyFill="1" applyBorder="1" applyAlignment="1">
      <alignment horizontal="right" vertical="center" wrapText="1"/>
    </xf>
    <xf numFmtId="180" fontId="11" fillId="0" borderId="10" xfId="3" applyNumberFormat="1" applyFont="1" applyFill="1" applyBorder="1" applyAlignment="1">
      <alignment horizontal="right" vertical="center" wrapText="1"/>
    </xf>
    <xf numFmtId="49" fontId="11" fillId="0" borderId="41" xfId="0" applyNumberFormat="1" applyFont="1" applyFill="1" applyBorder="1" applyAlignment="1">
      <alignment horizontal="justify" vertical="center" shrinkToFit="1"/>
    </xf>
    <xf numFmtId="179" fontId="11" fillId="0" borderId="54" xfId="0" applyNumberFormat="1" applyFont="1" applyFill="1" applyBorder="1" applyAlignment="1">
      <alignment vertical="center" shrinkToFit="1"/>
    </xf>
    <xf numFmtId="0" fontId="11" fillId="0" borderId="14" xfId="0" applyFont="1" applyFill="1" applyBorder="1" applyAlignment="1">
      <alignment vertical="center" wrapText="1"/>
    </xf>
    <xf numFmtId="41" fontId="11" fillId="0" borderId="15" xfId="3" applyFont="1" applyFill="1" applyBorder="1" applyAlignment="1">
      <alignment horizontal="right" vertical="center"/>
    </xf>
    <xf numFmtId="180" fontId="11" fillId="0" borderId="15" xfId="3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justify" vertical="center" shrinkToFit="1"/>
    </xf>
    <xf numFmtId="179" fontId="11" fillId="0" borderId="5" xfId="0" applyNumberFormat="1" applyFont="1" applyFill="1" applyBorder="1" applyAlignment="1">
      <alignment vertical="center" shrinkToFit="1"/>
    </xf>
    <xf numFmtId="0" fontId="11" fillId="0" borderId="20" xfId="0" applyFont="1" applyFill="1" applyBorder="1" applyAlignment="1">
      <alignment vertical="center" wrapText="1"/>
    </xf>
    <xf numFmtId="41" fontId="11" fillId="0" borderId="18" xfId="3" applyFont="1" applyFill="1" applyBorder="1" applyAlignment="1">
      <alignment horizontal="right" vertical="center" wrapText="1"/>
    </xf>
    <xf numFmtId="180" fontId="11" fillId="0" borderId="18" xfId="3" applyNumberFormat="1" applyFont="1" applyFill="1" applyBorder="1" applyAlignment="1">
      <alignment horizontal="right" vertical="center" wrapText="1"/>
    </xf>
    <xf numFmtId="49" fontId="11" fillId="0" borderId="8" xfId="0" applyNumberFormat="1" applyFont="1" applyFill="1" applyBorder="1" applyAlignment="1">
      <alignment horizontal="justify" vertical="center" shrinkToFit="1"/>
    </xf>
    <xf numFmtId="179" fontId="11" fillId="0" borderId="55" xfId="0" applyNumberFormat="1" applyFont="1" applyFill="1" applyBorder="1" applyAlignment="1">
      <alignment vertical="center" shrinkToFit="1"/>
    </xf>
    <xf numFmtId="41" fontId="11" fillId="0" borderId="15" xfId="3" applyFont="1" applyFill="1" applyBorder="1" applyAlignment="1">
      <alignment horizontal="right" vertical="center" wrapText="1"/>
    </xf>
    <xf numFmtId="180" fontId="11" fillId="0" borderId="15" xfId="3" applyNumberFormat="1" applyFont="1" applyFill="1" applyBorder="1" applyAlignment="1">
      <alignment horizontal="right" vertical="center" wrapText="1"/>
    </xf>
    <xf numFmtId="49" fontId="11" fillId="0" borderId="0" xfId="0" quotePrefix="1" applyNumberFormat="1" applyFont="1" applyFill="1" applyBorder="1" applyAlignment="1">
      <alignment horizontal="justify" vertical="center" shrinkToFit="1"/>
    </xf>
    <xf numFmtId="179" fontId="11" fillId="0" borderId="5" xfId="0" quotePrefix="1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2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41" fontId="11" fillId="0" borderId="16" xfId="3" applyFont="1" applyFill="1" applyBorder="1" applyAlignment="1">
      <alignment horizontal="right" vertical="center" wrapText="1"/>
    </xf>
    <xf numFmtId="180" fontId="11" fillId="0" borderId="16" xfId="3" applyNumberFormat="1" applyFont="1" applyFill="1" applyBorder="1" applyAlignment="1">
      <alignment horizontal="right" vertical="center" wrapText="1"/>
    </xf>
    <xf numFmtId="0" fontId="11" fillId="0" borderId="19" xfId="0" applyFont="1" applyFill="1" applyBorder="1" applyAlignment="1">
      <alignment horizontal="justify" vertical="center" wrapText="1"/>
    </xf>
    <xf numFmtId="180" fontId="11" fillId="0" borderId="19" xfId="3" applyNumberFormat="1" applyFont="1" applyFill="1" applyBorder="1" applyAlignment="1">
      <alignment horizontal="right" vertical="center" wrapText="1"/>
    </xf>
    <xf numFmtId="49" fontId="11" fillId="0" borderId="2" xfId="0" applyNumberFormat="1" applyFont="1" applyFill="1" applyBorder="1" applyAlignment="1">
      <alignment horizontal="justify" vertical="center" shrinkToFit="1"/>
    </xf>
    <xf numFmtId="179" fontId="11" fillId="0" borderId="57" xfId="0" applyNumberFormat="1" applyFont="1" applyFill="1" applyBorder="1" applyAlignment="1">
      <alignment vertical="center" shrinkToFit="1"/>
    </xf>
    <xf numFmtId="180" fontId="11" fillId="0" borderId="14" xfId="3" applyNumberFormat="1" applyFont="1" applyFill="1" applyBorder="1" applyAlignment="1">
      <alignment horizontal="right" vertical="center" wrapText="1"/>
    </xf>
    <xf numFmtId="49" fontId="11" fillId="0" borderId="7" xfId="0" applyNumberFormat="1" applyFont="1" applyFill="1" applyBorder="1" applyAlignment="1">
      <alignment horizontal="justify" vertical="center" shrinkToFit="1"/>
    </xf>
    <xf numFmtId="49" fontId="11" fillId="0" borderId="3" xfId="0" applyNumberFormat="1" applyFont="1" applyFill="1" applyBorder="1" applyAlignment="1">
      <alignment horizontal="justify" vertical="center" shrinkToFit="1"/>
    </xf>
    <xf numFmtId="0" fontId="11" fillId="0" borderId="18" xfId="0" applyFont="1" applyFill="1" applyBorder="1" applyAlignment="1">
      <alignment vertical="center" wrapText="1"/>
    </xf>
    <xf numFmtId="41" fontId="11" fillId="9" borderId="16" xfId="3" applyFont="1" applyFill="1" applyBorder="1" applyAlignment="1">
      <alignment horizontal="right" vertical="center" wrapText="1"/>
    </xf>
    <xf numFmtId="180" fontId="11" fillId="9" borderId="16" xfId="3" applyNumberFormat="1" applyFont="1" applyFill="1" applyBorder="1" applyAlignment="1">
      <alignment horizontal="right" vertical="center" wrapText="1"/>
    </xf>
    <xf numFmtId="49" fontId="11" fillId="9" borderId="42" xfId="0" applyNumberFormat="1" applyFont="1" applyFill="1" applyBorder="1" applyAlignment="1">
      <alignment vertical="center" shrinkToFit="1"/>
    </xf>
    <xf numFmtId="179" fontId="11" fillId="9" borderId="56" xfId="0" applyNumberFormat="1" applyFont="1" applyFill="1" applyBorder="1" applyAlignment="1">
      <alignment vertical="center" shrinkToFit="1"/>
    </xf>
    <xf numFmtId="0" fontId="11" fillId="0" borderId="35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51" xfId="0" applyFont="1" applyFill="1" applyBorder="1" applyAlignment="1">
      <alignment vertical="center" wrapText="1"/>
    </xf>
    <xf numFmtId="41" fontId="11" fillId="0" borderId="23" xfId="3" applyFont="1" applyFill="1" applyBorder="1" applyAlignment="1">
      <alignment horizontal="right" vertical="center" wrapText="1"/>
    </xf>
    <xf numFmtId="180" fontId="11" fillId="0" borderId="23" xfId="3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justify" vertical="center" shrinkToFit="1"/>
    </xf>
    <xf numFmtId="0" fontId="11" fillId="0" borderId="0" xfId="0" applyNumberFormat="1" applyFont="1" applyFill="1" applyBorder="1" applyAlignment="1">
      <alignment horizontal="justify" vertical="center" shrinkToFit="1"/>
    </xf>
    <xf numFmtId="41" fontId="10" fillId="8" borderId="61" xfId="3" applyFont="1" applyFill="1" applyBorder="1" applyAlignment="1">
      <alignment horizontal="right" vertical="center" wrapText="1"/>
    </xf>
    <xf numFmtId="180" fontId="10" fillId="8" borderId="61" xfId="3" applyNumberFormat="1" applyFont="1" applyFill="1" applyBorder="1" applyAlignment="1">
      <alignment horizontal="right" vertical="center" wrapText="1"/>
    </xf>
    <xf numFmtId="49" fontId="11" fillId="8" borderId="45" xfId="0" applyNumberFormat="1" applyFont="1" applyFill="1" applyBorder="1" applyAlignment="1">
      <alignment horizontal="justify" vertical="center" shrinkToFit="1"/>
    </xf>
    <xf numFmtId="179" fontId="11" fillId="8" borderId="62" xfId="0" applyNumberFormat="1" applyFont="1" applyFill="1" applyBorder="1" applyAlignment="1">
      <alignment vertical="center" shrinkToFit="1"/>
    </xf>
    <xf numFmtId="0" fontId="11" fillId="0" borderId="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41" fontId="11" fillId="0" borderId="23" xfId="3" applyFont="1" applyFill="1" applyBorder="1" applyAlignment="1">
      <alignment vertical="center" wrapText="1"/>
    </xf>
    <xf numFmtId="49" fontId="11" fillId="0" borderId="9" xfId="0" applyNumberFormat="1" applyFont="1" applyFill="1" applyBorder="1" applyAlignment="1">
      <alignment horizontal="justify" vertical="center" shrinkToFi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0" xfId="0" quotePrefix="1" applyFont="1" applyFill="1" applyBorder="1" applyAlignment="1">
      <alignment vertical="center" shrinkToFit="1"/>
    </xf>
    <xf numFmtId="41" fontId="11" fillId="10" borderId="15" xfId="3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vertical="center" shrinkToFit="1"/>
    </xf>
    <xf numFmtId="179" fontId="11" fillId="10" borderId="5" xfId="0" applyNumberFormat="1" applyFont="1" applyFill="1" applyBorder="1" applyAlignment="1">
      <alignment vertical="center" shrinkToFit="1"/>
    </xf>
    <xf numFmtId="49" fontId="11" fillId="0" borderId="0" xfId="0" applyNumberFormat="1" applyFont="1" applyFill="1" applyBorder="1" applyAlignment="1">
      <alignment horizontal="left" vertical="center" shrinkToFit="1"/>
    </xf>
    <xf numFmtId="49" fontId="11" fillId="0" borderId="42" xfId="0" applyNumberFormat="1" applyFont="1" applyFill="1" applyBorder="1" applyAlignment="1">
      <alignment horizontal="justify" vertical="center" shrinkToFit="1"/>
    </xf>
    <xf numFmtId="179" fontId="11" fillId="0" borderId="56" xfId="0" applyNumberFormat="1" applyFont="1" applyFill="1" applyBorder="1" applyAlignment="1">
      <alignment vertical="center" shrinkToFit="1"/>
    </xf>
    <xf numFmtId="0" fontId="11" fillId="0" borderId="27" xfId="0" applyFont="1" applyFill="1" applyBorder="1" applyAlignment="1">
      <alignment horizontal="justify" vertical="center" wrapText="1"/>
    </xf>
    <xf numFmtId="0" fontId="11" fillId="0" borderId="16" xfId="0" applyFont="1" applyFill="1" applyBorder="1" applyAlignment="1">
      <alignment horizontal="justify" vertical="center" wrapText="1"/>
    </xf>
    <xf numFmtId="0" fontId="11" fillId="0" borderId="17" xfId="0" applyFont="1" applyFill="1" applyBorder="1" applyAlignment="1">
      <alignment horizontal="justify" vertical="center" wrapText="1"/>
    </xf>
    <xf numFmtId="41" fontId="11" fillId="0" borderId="13" xfId="3" applyFont="1" applyFill="1" applyBorder="1" applyAlignment="1">
      <alignment horizontal="right" vertical="center" wrapText="1"/>
    </xf>
    <xf numFmtId="180" fontId="11" fillId="0" borderId="13" xfId="3" applyNumberFormat="1" applyFont="1" applyFill="1" applyBorder="1" applyAlignment="1">
      <alignment horizontal="right" vertical="center" wrapText="1"/>
    </xf>
    <xf numFmtId="49" fontId="11" fillId="0" borderId="40" xfId="0" applyNumberFormat="1" applyFont="1" applyFill="1" applyBorder="1" applyAlignment="1">
      <alignment horizontal="justify" vertical="center" shrinkToFit="1"/>
    </xf>
    <xf numFmtId="179" fontId="11" fillId="0" borderId="53" xfId="0" applyNumberFormat="1" applyFont="1" applyFill="1" applyBorder="1" applyAlignment="1">
      <alignment vertical="center" shrinkToFit="1"/>
    </xf>
    <xf numFmtId="41" fontId="10" fillId="8" borderId="13" xfId="3" applyFont="1" applyFill="1" applyBorder="1" applyAlignment="1">
      <alignment horizontal="right" vertical="center" wrapText="1"/>
    </xf>
    <xf numFmtId="180" fontId="10" fillId="8" borderId="13" xfId="3" applyNumberFormat="1" applyFont="1" applyFill="1" applyBorder="1" applyAlignment="1">
      <alignment horizontal="right" vertical="center" wrapText="1"/>
    </xf>
    <xf numFmtId="49" fontId="10" fillId="8" borderId="40" xfId="0" applyNumberFormat="1" applyFont="1" applyFill="1" applyBorder="1" applyAlignment="1">
      <alignment horizontal="justify" vertical="center" shrinkToFit="1"/>
    </xf>
    <xf numFmtId="179" fontId="10" fillId="8" borderId="53" xfId="0" applyNumberFormat="1" applyFont="1" applyFill="1" applyBorder="1" applyAlignment="1">
      <alignment vertical="center" shrinkToFit="1"/>
    </xf>
    <xf numFmtId="0" fontId="11" fillId="0" borderId="2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8" xfId="0" quotePrefix="1" applyFont="1" applyFill="1" applyBorder="1" applyAlignment="1">
      <alignment vertical="center" shrinkToFit="1"/>
    </xf>
    <xf numFmtId="179" fontId="11" fillId="0" borderId="55" xfId="0" quotePrefix="1" applyNumberFormat="1" applyFont="1" applyFill="1" applyBorder="1" applyAlignment="1">
      <alignment vertical="center" shrinkToFit="1"/>
    </xf>
    <xf numFmtId="0" fontId="11" fillId="0" borderId="21" xfId="0" applyFont="1" applyFill="1" applyBorder="1" applyAlignment="1">
      <alignment horizontal="justify" vertical="center" wrapText="1"/>
    </xf>
    <xf numFmtId="49" fontId="11" fillId="8" borderId="42" xfId="0" applyNumberFormat="1" applyFont="1" applyFill="1" applyBorder="1" applyAlignment="1">
      <alignment horizontal="justify" vertical="center" shrinkToFit="1"/>
    </xf>
    <xf numFmtId="0" fontId="11" fillId="0" borderId="15" xfId="0" applyFont="1" applyFill="1" applyBorder="1" applyAlignment="1">
      <alignment horizontal="justify" vertical="center" wrapText="1"/>
    </xf>
    <xf numFmtId="49" fontId="11" fillId="0" borderId="41" xfId="0" quotePrefix="1" applyNumberFormat="1" applyFont="1" applyFill="1" applyBorder="1" applyAlignment="1">
      <alignment vertical="center" shrinkToFit="1"/>
    </xf>
    <xf numFmtId="179" fontId="11" fillId="0" borderId="54" xfId="0" quotePrefix="1" applyNumberFormat="1" applyFont="1" applyFill="1" applyBorder="1" applyAlignment="1">
      <alignment vertical="center" shrinkToFit="1"/>
    </xf>
    <xf numFmtId="49" fontId="11" fillId="0" borderId="42" xfId="0" quotePrefix="1" applyNumberFormat="1" applyFont="1" applyFill="1" applyBorder="1" applyAlignment="1">
      <alignment vertical="center" shrinkToFit="1"/>
    </xf>
    <xf numFmtId="179" fontId="11" fillId="0" borderId="56" xfId="0" quotePrefix="1" applyNumberFormat="1" applyFont="1" applyFill="1" applyBorder="1" applyAlignment="1">
      <alignment vertical="center" shrinkToFit="1"/>
    </xf>
    <xf numFmtId="0" fontId="11" fillId="0" borderId="25" xfId="0" applyFont="1" applyFill="1" applyBorder="1" applyAlignment="1">
      <alignment horizontal="justify" vertical="center" wrapText="1"/>
    </xf>
    <xf numFmtId="49" fontId="11" fillId="8" borderId="40" xfId="0" applyNumberFormat="1" applyFont="1" applyFill="1" applyBorder="1" applyAlignment="1">
      <alignment horizontal="justify" vertical="center" shrinkToFit="1"/>
    </xf>
    <xf numFmtId="179" fontId="11" fillId="8" borderId="53" xfId="0" applyNumberFormat="1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justify" vertical="center" wrapText="1"/>
    </xf>
    <xf numFmtId="0" fontId="11" fillId="0" borderId="18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41" fontId="11" fillId="0" borderId="37" xfId="3" applyFont="1" applyFill="1" applyBorder="1" applyAlignment="1">
      <alignment horizontal="right" vertical="center" wrapText="1"/>
    </xf>
    <xf numFmtId="180" fontId="11" fillId="0" borderId="37" xfId="3" applyNumberFormat="1" applyFont="1" applyFill="1" applyBorder="1" applyAlignment="1">
      <alignment horizontal="right" vertical="center" wrapText="1"/>
    </xf>
    <xf numFmtId="49" fontId="11" fillId="0" borderId="59" xfId="0" applyNumberFormat="1" applyFont="1" applyFill="1" applyBorder="1" applyAlignment="1">
      <alignment horizontal="justify" vertical="center" shrinkToFit="1"/>
    </xf>
    <xf numFmtId="179" fontId="11" fillId="0" borderId="58" xfId="0" applyNumberFormat="1" applyFont="1" applyFill="1" applyBorder="1" applyAlignment="1">
      <alignment vertical="center" shrinkToFit="1"/>
    </xf>
    <xf numFmtId="0" fontId="11" fillId="0" borderId="29" xfId="0" applyFont="1" applyFill="1" applyBorder="1" applyAlignment="1">
      <alignment horizontal="justify"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41" fontId="11" fillId="0" borderId="11" xfId="3" applyFont="1" applyFill="1" applyBorder="1" applyAlignment="1">
      <alignment horizontal="right" vertical="center" wrapText="1"/>
    </xf>
    <xf numFmtId="180" fontId="11" fillId="0" borderId="11" xfId="3" applyNumberFormat="1" applyFont="1" applyFill="1" applyBorder="1" applyAlignment="1">
      <alignment horizontal="right" vertical="center" wrapText="1"/>
    </xf>
    <xf numFmtId="49" fontId="11" fillId="0" borderId="22" xfId="0" applyNumberFormat="1" applyFont="1" applyFill="1" applyBorder="1" applyAlignment="1">
      <alignment horizontal="justify" vertical="center" shrinkToFit="1"/>
    </xf>
    <xf numFmtId="179" fontId="11" fillId="0" borderId="60" xfId="0" applyNumberFormat="1" applyFont="1" applyFill="1" applyBorder="1" applyAlignment="1">
      <alignment vertical="center" shrinkToFit="1"/>
    </xf>
    <xf numFmtId="41" fontId="10" fillId="11" borderId="18" xfId="3" applyFont="1" applyFill="1" applyBorder="1" applyAlignment="1">
      <alignment horizontal="right" vertical="center" wrapText="1"/>
    </xf>
    <xf numFmtId="180" fontId="10" fillId="11" borderId="18" xfId="3" applyNumberFormat="1" applyFont="1" applyFill="1" applyBorder="1" applyAlignment="1">
      <alignment horizontal="right" vertical="center" wrapText="1"/>
    </xf>
    <xf numFmtId="49" fontId="11" fillId="11" borderId="20" xfId="0" applyNumberFormat="1" applyFont="1" applyFill="1" applyBorder="1" applyAlignment="1">
      <alignment horizontal="justify" vertical="center" shrinkToFit="1"/>
    </xf>
    <xf numFmtId="179" fontId="11" fillId="11" borderId="55" xfId="0" applyNumberFormat="1" applyFont="1" applyFill="1" applyBorder="1" applyAlignment="1">
      <alignment vertical="center" shrinkToFit="1"/>
    </xf>
    <xf numFmtId="0" fontId="22" fillId="0" borderId="0" xfId="0" applyFont="1" applyAlignment="1">
      <alignment vertical="center"/>
    </xf>
    <xf numFmtId="41" fontId="22" fillId="0" borderId="0" xfId="3" applyFont="1" applyAlignment="1">
      <alignment vertical="center"/>
    </xf>
    <xf numFmtId="179" fontId="11" fillId="0" borderId="54" xfId="0" applyNumberFormat="1" applyFont="1" applyFill="1" applyBorder="1" applyAlignment="1">
      <alignment horizontal="right" vertical="center" shrinkToFit="1"/>
    </xf>
    <xf numFmtId="179" fontId="11" fillId="0" borderId="5" xfId="0" applyNumberFormat="1" applyFont="1" applyFill="1" applyBorder="1" applyAlignment="1">
      <alignment horizontal="right" vertical="center" shrinkToFit="1"/>
    </xf>
    <xf numFmtId="179" fontId="22" fillId="0" borderId="0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1" fillId="0" borderId="2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5" xfId="0" applyFont="1" applyFill="1" applyBorder="1" applyAlignment="1">
      <alignment horizontal="justify"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justify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14" fontId="26" fillId="0" borderId="6" xfId="0" applyNumberFormat="1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8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41" fontId="14" fillId="0" borderId="2" xfId="3" applyFont="1" applyBorder="1" applyAlignment="1">
      <alignment vertical="center"/>
    </xf>
    <xf numFmtId="41" fontId="14" fillId="0" borderId="7" xfId="3" applyFont="1" applyBorder="1" applyAlignment="1">
      <alignment vertical="center"/>
    </xf>
    <xf numFmtId="41" fontId="14" fillId="0" borderId="7" xfId="3" applyFont="1" applyBorder="1" applyAlignment="1">
      <alignment horizontal="left" vertical="center"/>
    </xf>
    <xf numFmtId="41" fontId="14" fillId="0" borderId="3" xfId="3" applyFont="1" applyBorder="1" applyAlignment="1">
      <alignment horizontal="left" vertical="center"/>
    </xf>
    <xf numFmtId="41" fontId="14" fillId="0" borderId="0" xfId="3" applyFont="1" applyAlignment="1">
      <alignment horizontal="left" vertical="center"/>
    </xf>
    <xf numFmtId="41" fontId="25" fillId="0" borderId="0" xfId="3" applyFont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179" fontId="11" fillId="0" borderId="55" xfId="0" applyNumberFormat="1" applyFont="1" applyBorder="1" applyAlignment="1">
      <alignment horizontal="right" vertical="center" wrapText="1"/>
    </xf>
    <xf numFmtId="41" fontId="11" fillId="0" borderId="82" xfId="3" applyFont="1" applyBorder="1" applyAlignment="1">
      <alignment vertical="center" wrapText="1"/>
    </xf>
    <xf numFmtId="0" fontId="11" fillId="0" borderId="51" xfId="0" applyFont="1" applyBorder="1" applyAlignment="1">
      <alignment horizontal="justify" vertical="center" wrapText="1"/>
    </xf>
    <xf numFmtId="179" fontId="11" fillId="0" borderId="57" xfId="0" applyNumberFormat="1" applyFont="1" applyBorder="1" applyAlignment="1">
      <alignment horizontal="right" vertical="center" wrapText="1"/>
    </xf>
    <xf numFmtId="179" fontId="11" fillId="5" borderId="56" xfId="0" applyNumberFormat="1" applyFont="1" applyFill="1" applyBorder="1" applyAlignment="1">
      <alignment horizontal="right" vertical="center" wrapText="1"/>
    </xf>
    <xf numFmtId="41" fontId="9" fillId="0" borderId="31" xfId="3" applyFont="1" applyBorder="1" applyAlignment="1">
      <alignment vertical="center" wrapText="1"/>
    </xf>
    <xf numFmtId="41" fontId="9" fillId="0" borderId="26" xfId="3" applyFont="1" applyBorder="1" applyAlignment="1">
      <alignment vertical="center" wrapText="1"/>
    </xf>
    <xf numFmtId="49" fontId="11" fillId="0" borderId="17" xfId="0" quotePrefix="1" applyNumberFormat="1" applyFont="1" applyFill="1" applyBorder="1" applyAlignment="1">
      <alignment vertical="center" shrinkToFit="1"/>
    </xf>
    <xf numFmtId="179" fontId="11" fillId="0" borderId="53" xfId="0" quotePrefix="1" applyNumberFormat="1" applyFont="1" applyFill="1" applyBorder="1" applyAlignment="1">
      <alignment horizontal="right" vertical="center" shrinkToFit="1"/>
    </xf>
    <xf numFmtId="180" fontId="13" fillId="0" borderId="0" xfId="0" applyNumberFormat="1" applyFont="1" applyAlignment="1">
      <alignment horizontal="center" vertical="center"/>
    </xf>
    <xf numFmtId="180" fontId="22" fillId="0" borderId="0" xfId="3" applyNumberFormat="1" applyFont="1" applyAlignment="1">
      <alignment vertical="center"/>
    </xf>
    <xf numFmtId="180" fontId="10" fillId="2" borderId="12" xfId="3" applyNumberFormat="1" applyFont="1" applyFill="1" applyBorder="1" applyAlignment="1">
      <alignment horizontal="center" vertical="top" wrapText="1"/>
    </xf>
    <xf numFmtId="180" fontId="10" fillId="3" borderId="4" xfId="3" applyNumberFormat="1" applyFont="1" applyFill="1" applyBorder="1" applyAlignment="1">
      <alignment vertical="center" wrapText="1"/>
    </xf>
    <xf numFmtId="180" fontId="11" fillId="4" borderId="66" xfId="3" applyNumberFormat="1" applyFont="1" applyFill="1" applyBorder="1" applyAlignment="1">
      <alignment vertical="center" wrapText="1"/>
    </xf>
    <xf numFmtId="180" fontId="11" fillId="0" borderId="37" xfId="3" applyNumberFormat="1" applyFont="1" applyBorder="1" applyAlignment="1">
      <alignment vertical="center" wrapText="1"/>
    </xf>
    <xf numFmtId="180" fontId="11" fillId="4" borderId="16" xfId="3" applyNumberFormat="1" applyFont="1" applyFill="1" applyBorder="1" applyAlignment="1">
      <alignment vertical="center" wrapText="1"/>
    </xf>
    <xf numFmtId="180" fontId="11" fillId="0" borderId="10" xfId="3" applyNumberFormat="1" applyFont="1" applyBorder="1" applyAlignment="1">
      <alignment vertical="center" wrapText="1"/>
    </xf>
    <xf numFmtId="180" fontId="11" fillId="0" borderId="32" xfId="3" applyNumberFormat="1" applyFont="1" applyBorder="1" applyAlignment="1">
      <alignment vertical="center" wrapText="1"/>
    </xf>
    <xf numFmtId="180" fontId="11" fillId="4" borderId="28" xfId="3" applyNumberFormat="1" applyFont="1" applyFill="1" applyBorder="1" applyAlignment="1">
      <alignment vertical="center" wrapText="1"/>
    </xf>
    <xf numFmtId="180" fontId="11" fillId="0" borderId="13" xfId="3" applyNumberFormat="1" applyFont="1" applyBorder="1" applyAlignment="1">
      <alignment vertical="center" wrapText="1"/>
    </xf>
    <xf numFmtId="180" fontId="11" fillId="4" borderId="13" xfId="3" applyNumberFormat="1" applyFont="1" applyFill="1" applyBorder="1" applyAlignment="1">
      <alignment vertical="center" wrapText="1"/>
    </xf>
    <xf numFmtId="180" fontId="11" fillId="0" borderId="15" xfId="3" applyNumberFormat="1" applyFont="1" applyBorder="1" applyAlignment="1">
      <alignment vertical="center" wrapText="1"/>
    </xf>
    <xf numFmtId="180" fontId="11" fillId="0" borderId="23" xfId="3" applyNumberFormat="1" applyFont="1" applyBorder="1" applyAlignment="1">
      <alignment vertical="center" wrapText="1"/>
    </xf>
    <xf numFmtId="180" fontId="11" fillId="0" borderId="18" xfId="3" applyNumberFormat="1" applyFont="1" applyBorder="1" applyAlignment="1">
      <alignment vertical="center" wrapText="1"/>
    </xf>
    <xf numFmtId="180" fontId="10" fillId="3" borderId="16" xfId="3" applyNumberFormat="1" applyFont="1" applyFill="1" applyBorder="1" applyAlignment="1">
      <alignment vertical="center" wrapText="1"/>
    </xf>
    <xf numFmtId="180" fontId="11" fillId="0" borderId="16" xfId="3" applyNumberFormat="1" applyFont="1" applyBorder="1" applyAlignment="1">
      <alignment vertical="center" wrapText="1"/>
    </xf>
    <xf numFmtId="180" fontId="11" fillId="0" borderId="27" xfId="3" applyNumberFormat="1" applyFont="1" applyBorder="1" applyAlignment="1">
      <alignment vertical="center" wrapText="1"/>
    </xf>
    <xf numFmtId="180" fontId="10" fillId="3" borderId="13" xfId="3" applyNumberFormat="1" applyFont="1" applyFill="1" applyBorder="1" applyAlignment="1">
      <alignment vertical="center" wrapText="1"/>
    </xf>
    <xf numFmtId="180" fontId="10" fillId="3" borderId="61" xfId="3" applyNumberFormat="1" applyFont="1" applyFill="1" applyBorder="1" applyAlignment="1">
      <alignment vertical="center" wrapText="1"/>
    </xf>
    <xf numFmtId="180" fontId="11" fillId="0" borderId="64" xfId="3" applyNumberFormat="1" applyFont="1" applyBorder="1" applyAlignment="1">
      <alignment vertical="center" wrapText="1"/>
    </xf>
    <xf numFmtId="180" fontId="11" fillId="0" borderId="11" xfId="3" applyNumberFormat="1" applyFont="1" applyBorder="1" applyAlignment="1">
      <alignment vertical="center" wrapText="1"/>
    </xf>
    <xf numFmtId="180" fontId="10" fillId="6" borderId="75" xfId="3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justify" vertical="center" wrapText="1"/>
    </xf>
    <xf numFmtId="41" fontId="11" fillId="10" borderId="23" xfId="3" applyFont="1" applyFill="1" applyBorder="1" applyAlignment="1">
      <alignment horizontal="right" vertical="center" wrapText="1"/>
    </xf>
    <xf numFmtId="0" fontId="11" fillId="0" borderId="52" xfId="0" applyFont="1" applyFill="1" applyBorder="1" applyAlignment="1">
      <alignment horizontal="justify" vertical="center" wrapText="1"/>
    </xf>
    <xf numFmtId="41" fontId="11" fillId="9" borderId="23" xfId="3" applyFont="1" applyFill="1" applyBorder="1" applyAlignment="1">
      <alignment horizontal="right" vertical="center" wrapText="1"/>
    </xf>
    <xf numFmtId="180" fontId="11" fillId="9" borderId="23" xfId="3" applyNumberFormat="1" applyFont="1" applyFill="1" applyBorder="1" applyAlignment="1">
      <alignment horizontal="right" vertical="center" wrapText="1"/>
    </xf>
    <xf numFmtId="49" fontId="11" fillId="9" borderId="9" xfId="0" applyNumberFormat="1" applyFont="1" applyFill="1" applyBorder="1" applyAlignment="1">
      <alignment horizontal="justify" vertical="center" shrinkToFit="1"/>
    </xf>
    <xf numFmtId="179" fontId="11" fillId="9" borderId="57" xfId="0" applyNumberFormat="1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63" xfId="0" applyFont="1" applyFill="1" applyBorder="1" applyAlignment="1">
      <alignment vertical="center" wrapText="1"/>
    </xf>
    <xf numFmtId="41" fontId="11" fillId="0" borderId="64" xfId="3" applyFont="1" applyFill="1" applyBorder="1" applyAlignment="1">
      <alignment horizontal="right" vertical="center" wrapText="1"/>
    </xf>
    <xf numFmtId="180" fontId="11" fillId="0" borderId="64" xfId="3" applyNumberFormat="1" applyFont="1" applyFill="1" applyBorder="1" applyAlignment="1">
      <alignment horizontal="right" vertical="center" wrapText="1"/>
    </xf>
    <xf numFmtId="49" fontId="11" fillId="0" borderId="83" xfId="0" applyNumberFormat="1" applyFont="1" applyFill="1" applyBorder="1" applyAlignment="1">
      <alignment horizontal="justify" vertical="center" shrinkToFit="1"/>
    </xf>
    <xf numFmtId="179" fontId="11" fillId="0" borderId="71" xfId="0" applyNumberFormat="1" applyFont="1" applyFill="1" applyBorder="1" applyAlignment="1">
      <alignment vertical="center" shrinkToFit="1"/>
    </xf>
    <xf numFmtId="49" fontId="11" fillId="0" borderId="8" xfId="0" quotePrefix="1" applyNumberFormat="1" applyFont="1" applyFill="1" applyBorder="1" applyAlignment="1">
      <alignment vertical="center" shrinkToFit="1"/>
    </xf>
    <xf numFmtId="49" fontId="11" fillId="0" borderId="51" xfId="0" applyNumberFormat="1" applyFont="1" applyFill="1" applyBorder="1" applyAlignment="1">
      <alignment horizontal="justify" vertical="center" shrinkToFit="1"/>
    </xf>
    <xf numFmtId="49" fontId="11" fillId="0" borderId="14" xfId="0" applyNumberFormat="1" applyFont="1" applyFill="1" applyBorder="1" applyAlignment="1">
      <alignment horizontal="justify" vertical="center" shrinkToFit="1"/>
    </xf>
    <xf numFmtId="0" fontId="14" fillId="0" borderId="0" xfId="0" applyFont="1" applyAlignment="1">
      <alignment horizontal="center" vertical="center"/>
    </xf>
    <xf numFmtId="41" fontId="27" fillId="0" borderId="0" xfId="3" quotePrefix="1" applyFont="1" applyAlignment="1">
      <alignment horizontal="left" vertical="center"/>
    </xf>
    <xf numFmtId="41" fontId="27" fillId="0" borderId="0" xfId="3" applyFont="1" applyAlignment="1">
      <alignment horizontal="left" vertical="center"/>
    </xf>
    <xf numFmtId="41" fontId="14" fillId="0" borderId="6" xfId="0" applyNumberFormat="1" applyFont="1" applyBorder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8" xfId="0" applyFont="1" applyFill="1" applyBorder="1" applyAlignment="1">
      <alignment vertical="center" shrinkToFit="1"/>
    </xf>
    <xf numFmtId="0" fontId="11" fillId="0" borderId="84" xfId="0" applyFont="1" applyFill="1" applyBorder="1" applyAlignment="1">
      <alignment horizontal="justify" vertical="center" wrapText="1"/>
    </xf>
    <xf numFmtId="0" fontId="11" fillId="0" borderId="64" xfId="0" applyFont="1" applyFill="1" applyBorder="1" applyAlignment="1">
      <alignment horizontal="justify" vertical="center" wrapText="1"/>
    </xf>
    <xf numFmtId="0" fontId="11" fillId="0" borderId="70" xfId="0" applyFont="1" applyFill="1" applyBorder="1" applyAlignment="1">
      <alignment vertical="center" shrinkToFit="1"/>
    </xf>
    <xf numFmtId="0" fontId="11" fillId="0" borderId="18" xfId="0" applyFont="1" applyBorder="1" applyAlignment="1">
      <alignment horizontal="justify" vertical="center" wrapText="1"/>
    </xf>
    <xf numFmtId="0" fontId="11" fillId="0" borderId="20" xfId="0" applyFont="1" applyBorder="1" applyAlignment="1">
      <alignment vertical="center" wrapText="1"/>
    </xf>
    <xf numFmtId="0" fontId="20" fillId="0" borderId="0" xfId="9" applyFont="1" applyAlignment="1">
      <alignment horizontal="center" vertical="center"/>
    </xf>
    <xf numFmtId="0" fontId="18" fillId="0" borderId="0" xfId="9" applyFont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3" borderId="52" xfId="0" applyFont="1" applyFill="1" applyBorder="1" applyAlignment="1">
      <alignment horizontal="justify" vertical="center" wrapText="1"/>
    </xf>
    <xf numFmtId="0" fontId="10" fillId="3" borderId="40" xfId="0" applyFont="1" applyFill="1" applyBorder="1" applyAlignment="1">
      <alignment horizontal="justify" vertical="center" wrapText="1"/>
    </xf>
    <xf numFmtId="0" fontId="11" fillId="4" borderId="19" xfId="0" applyFont="1" applyFill="1" applyBorder="1" applyAlignment="1">
      <alignment horizontal="justify" vertical="center" wrapText="1"/>
    </xf>
    <xf numFmtId="0" fontId="11" fillId="4" borderId="40" xfId="0" applyFont="1" applyFill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0" fillId="3" borderId="45" xfId="0" applyFont="1" applyFill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3" borderId="73" xfId="0" applyFont="1" applyFill="1" applyBorder="1" applyAlignment="1">
      <alignment horizontal="justify" vertical="center" wrapText="1"/>
    </xf>
    <xf numFmtId="0" fontId="10" fillId="3" borderId="65" xfId="0" applyFont="1" applyFill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justify" vertical="center" wrapText="1"/>
    </xf>
    <xf numFmtId="0" fontId="11" fillId="4" borderId="9" xfId="0" applyFont="1" applyFill="1" applyBorder="1" applyAlignment="1">
      <alignment horizontal="justify" vertical="center" wrapText="1"/>
    </xf>
    <xf numFmtId="0" fontId="11" fillId="4" borderId="14" xfId="0" applyFont="1" applyFill="1" applyBorder="1" applyAlignment="1">
      <alignment horizontal="justify" vertical="center" wrapText="1"/>
    </xf>
    <xf numFmtId="0" fontId="11" fillId="4" borderId="42" xfId="0" applyFont="1" applyFill="1" applyBorder="1" applyAlignment="1">
      <alignment horizontal="justify" vertical="center" wrapText="1"/>
    </xf>
    <xf numFmtId="49" fontId="10" fillId="7" borderId="51" xfId="0" applyNumberFormat="1" applyFont="1" applyFill="1" applyBorder="1" applyAlignment="1">
      <alignment horizontal="center" vertical="center" shrinkToFit="1"/>
    </xf>
    <xf numFmtId="49" fontId="10" fillId="7" borderId="57" xfId="0" applyNumberFormat="1" applyFont="1" applyFill="1" applyBorder="1" applyAlignment="1">
      <alignment horizontal="center" vertical="center" shrinkToFit="1"/>
    </xf>
    <xf numFmtId="49" fontId="10" fillId="7" borderId="80" xfId="0" applyNumberFormat="1" applyFont="1" applyFill="1" applyBorder="1" applyAlignment="1">
      <alignment horizontal="center" vertical="center" shrinkToFit="1"/>
    </xf>
    <xf numFmtId="49" fontId="10" fillId="7" borderId="81" xfId="0" applyNumberFormat="1" applyFont="1" applyFill="1" applyBorder="1" applyAlignment="1">
      <alignment horizontal="center" vertical="center" shrinkToFit="1"/>
    </xf>
    <xf numFmtId="0" fontId="10" fillId="8" borderId="52" xfId="0" applyFont="1" applyFill="1" applyBorder="1" applyAlignment="1">
      <alignment horizontal="justify" vertical="center" wrapText="1"/>
    </xf>
    <xf numFmtId="0" fontId="10" fillId="8" borderId="40" xfId="0" applyFont="1" applyFill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justify" vertical="center" wrapText="1"/>
    </xf>
    <xf numFmtId="0" fontId="10" fillId="8" borderId="45" xfId="0" applyFont="1" applyFill="1" applyBorder="1" applyAlignment="1">
      <alignment horizontal="justify" vertical="center" wrapText="1"/>
    </xf>
    <xf numFmtId="0" fontId="11" fillId="9" borderId="19" xfId="0" applyFont="1" applyFill="1" applyBorder="1" applyAlignment="1">
      <alignment horizontal="justify" vertical="center" wrapText="1"/>
    </xf>
    <xf numFmtId="0" fontId="11" fillId="9" borderId="40" xfId="0" applyFont="1" applyFill="1" applyBorder="1" applyAlignment="1">
      <alignment horizontal="justify" vertical="center" wrapText="1"/>
    </xf>
    <xf numFmtId="0" fontId="11" fillId="0" borderId="25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1" fillId="9" borderId="2" xfId="0" applyFont="1" applyFill="1" applyBorder="1" applyAlignment="1">
      <alignment horizontal="justify" vertical="center" wrapText="1"/>
    </xf>
    <xf numFmtId="0" fontId="11" fillId="9" borderId="9" xfId="0" applyFont="1" applyFill="1" applyBorder="1" applyAlignment="1">
      <alignment horizontal="justify" vertical="center" wrapText="1"/>
    </xf>
    <xf numFmtId="0" fontId="11" fillId="0" borderId="27" xfId="0" applyFont="1" applyFill="1" applyBorder="1" applyAlignment="1">
      <alignment horizontal="justify" vertical="center" wrapText="1"/>
    </xf>
    <xf numFmtId="0" fontId="10" fillId="11" borderId="48" xfId="0" applyFont="1" applyFill="1" applyBorder="1" applyAlignment="1">
      <alignment horizontal="center" vertical="center" wrapText="1"/>
    </xf>
    <xf numFmtId="0" fontId="10" fillId="11" borderId="49" xfId="0" applyFont="1" applyFill="1" applyBorder="1" applyAlignment="1">
      <alignment horizontal="center" vertical="center" wrapText="1"/>
    </xf>
    <xf numFmtId="0" fontId="10" fillId="11" borderId="5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justify" vertical="center" wrapText="1"/>
    </xf>
    <xf numFmtId="0" fontId="10" fillId="8" borderId="7" xfId="0" applyFont="1" applyFill="1" applyBorder="1" applyAlignment="1">
      <alignment horizontal="justify" vertical="center" wrapText="1"/>
    </xf>
    <xf numFmtId="0" fontId="10" fillId="8" borderId="42" xfId="0" applyFont="1" applyFill="1" applyBorder="1" applyAlignment="1">
      <alignment horizontal="justify"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horizontal="justify" vertical="center" wrapText="1"/>
    </xf>
    <xf numFmtId="0" fontId="11" fillId="9" borderId="51" xfId="0" applyFont="1" applyFill="1" applyBorder="1" applyAlignment="1">
      <alignment horizontal="justify" vertical="center" wrapText="1"/>
    </xf>
    <xf numFmtId="0" fontId="11" fillId="9" borderId="45" xfId="0" applyFont="1" applyFill="1" applyBorder="1" applyAlignment="1">
      <alignment horizontal="justify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horizontal="center" vertical="center" wrapText="1"/>
    </xf>
    <xf numFmtId="0" fontId="10" fillId="8" borderId="32" xfId="0" applyFont="1" applyFill="1" applyBorder="1" applyAlignment="1">
      <alignment horizontal="justify" vertical="center" wrapText="1"/>
    </xf>
    <xf numFmtId="0" fontId="14" fillId="12" borderId="85" xfId="0" applyFont="1" applyFill="1" applyBorder="1" applyAlignment="1">
      <alignment horizontal="center" vertical="center"/>
    </xf>
    <xf numFmtId="0" fontId="14" fillId="0" borderId="63" xfId="0" applyFont="1" applyBorder="1" applyAlignment="1">
      <alignment horizontal="distributed" vertical="center" indent="1"/>
    </xf>
    <xf numFmtId="0" fontId="14" fillId="0" borderId="71" xfId="0" applyFont="1" applyBorder="1" applyAlignment="1">
      <alignment horizontal="distributed" vertical="center" indent="1"/>
    </xf>
    <xf numFmtId="0" fontId="14" fillId="0" borderId="6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indent="1"/>
    </xf>
    <xf numFmtId="0" fontId="14" fillId="0" borderId="57" xfId="0" applyFont="1" applyBorder="1" applyAlignment="1">
      <alignment horizontal="distributed" vertical="center" indent="1"/>
    </xf>
    <xf numFmtId="41" fontId="14" fillId="0" borderId="82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distributed" vertical="center" indent="1"/>
    </xf>
    <xf numFmtId="0" fontId="14" fillId="0" borderId="5" xfId="0" applyFont="1" applyBorder="1" applyAlignment="1">
      <alignment horizontal="distributed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82" xfId="0" applyFont="1" applyBorder="1" applyAlignment="1">
      <alignment horizontal="distributed" vertical="center" indent="1"/>
    </xf>
    <xf numFmtId="0" fontId="14" fillId="12" borderId="86" xfId="0" applyFont="1" applyFill="1" applyBorder="1" applyAlignment="1">
      <alignment horizontal="center" vertical="center"/>
    </xf>
    <xf numFmtId="0" fontId="14" fillId="12" borderId="87" xfId="0" applyFont="1" applyFill="1" applyBorder="1" applyAlignment="1">
      <alignment horizontal="center" vertical="center"/>
    </xf>
    <xf numFmtId="41" fontId="14" fillId="12" borderId="88" xfId="0" applyNumberFormat="1" applyFont="1" applyFill="1" applyBorder="1" applyAlignment="1">
      <alignment horizontal="center" vertical="center"/>
    </xf>
    <xf numFmtId="0" fontId="14" fillId="12" borderId="88" xfId="0" applyFont="1" applyFill="1" applyBorder="1" applyAlignment="1">
      <alignment horizontal="center" vertical="center"/>
    </xf>
    <xf numFmtId="0" fontId="14" fillId="12" borderId="89" xfId="0" applyFont="1" applyFill="1" applyBorder="1" applyAlignment="1">
      <alignment horizontal="center" vertical="center"/>
    </xf>
    <xf numFmtId="0" fontId="14" fillId="12" borderId="90" xfId="0" applyFont="1" applyFill="1" applyBorder="1" applyAlignment="1">
      <alignment horizontal="center" vertical="center"/>
    </xf>
    <xf numFmtId="0" fontId="28" fillId="12" borderId="82" xfId="0" applyFont="1" applyFill="1" applyBorder="1" applyAlignment="1">
      <alignment horizontal="center" vertical="center"/>
    </xf>
    <xf numFmtId="0" fontId="28" fillId="12" borderId="6" xfId="0" applyFont="1" applyFill="1" applyBorder="1" applyAlignment="1">
      <alignment horizontal="center" vertical="center"/>
    </xf>
    <xf numFmtId="3" fontId="28" fillId="12" borderId="63" xfId="0" applyNumberFormat="1" applyFont="1" applyFill="1" applyBorder="1" applyAlignment="1">
      <alignment horizontal="center" vertical="center"/>
    </xf>
    <xf numFmtId="3" fontId="28" fillId="12" borderId="71" xfId="0" applyNumberFormat="1" applyFont="1" applyFill="1" applyBorder="1" applyAlignment="1">
      <alignment horizontal="center" vertical="center"/>
    </xf>
    <xf numFmtId="3" fontId="28" fillId="12" borderId="6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3" fontId="28" fillId="0" borderId="63" xfId="0" applyNumberFormat="1" applyFont="1" applyBorder="1" applyAlignment="1">
      <alignment horizontal="center" vertical="center"/>
    </xf>
    <xf numFmtId="3" fontId="28" fillId="0" borderId="71" xfId="0" applyNumberFormat="1" applyFont="1" applyBorder="1" applyAlignment="1">
      <alignment horizontal="center" vertical="center"/>
    </xf>
    <xf numFmtId="3" fontId="28" fillId="0" borderId="6" xfId="0" applyNumberFormat="1" applyFont="1" applyBorder="1" applyAlignment="1">
      <alignment horizontal="center" vertical="center"/>
    </xf>
  </cellXfs>
  <cellStyles count="10">
    <cellStyle name="Currency1" xfId="1"/>
    <cellStyle name="백분율 2" xfId="2"/>
    <cellStyle name="쉼표 [0]" xfId="3" builtinId="6"/>
    <cellStyle name="쉼표 [0] 2" xfId="4"/>
    <cellStyle name="콤마 [0]_임직원" xfId="5"/>
    <cellStyle name="콤마_임직원" xfId="6"/>
    <cellStyle name="표준" xfId="0" builtinId="0"/>
    <cellStyle name="표준 2" xfId="7"/>
    <cellStyle name="표준_2001년예산_여천고" xfId="8"/>
    <cellStyle name="표준_진상회계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BreakPreview" zoomScaleNormal="100" zoomScaleSheetLayoutView="100" workbookViewId="0">
      <selection activeCell="F14" sqref="F14"/>
    </sheetView>
  </sheetViews>
  <sheetFormatPr defaultColWidth="11.42578125" defaultRowHeight="16.5"/>
  <cols>
    <col min="1" max="1" width="5.28515625" style="77" customWidth="1"/>
    <col min="2" max="16384" width="11.42578125" style="77"/>
  </cols>
  <sheetData>
    <row r="1" spans="1:8" ht="16.5" customHeight="1"/>
    <row r="2" spans="1:8" ht="16.5" customHeight="1"/>
    <row r="3" spans="1:8" ht="9.75" customHeight="1"/>
    <row r="4" spans="1:8" ht="24" customHeight="1">
      <c r="A4" s="78" t="s">
        <v>151</v>
      </c>
      <c r="B4" s="79"/>
    </row>
    <row r="5" spans="1:8" ht="16.5" customHeight="1">
      <c r="A5" s="80"/>
      <c r="B5" s="80"/>
    </row>
    <row r="6" spans="1:8" ht="16.5" customHeight="1">
      <c r="C6" s="81"/>
    </row>
    <row r="7" spans="1:8" ht="16.5" customHeight="1"/>
    <row r="9" spans="1:8" ht="127.5" customHeight="1">
      <c r="A9" s="311" t="s">
        <v>152</v>
      </c>
      <c r="B9" s="312"/>
      <c r="C9" s="312"/>
      <c r="D9" s="312"/>
      <c r="E9" s="312"/>
      <c r="F9" s="312"/>
      <c r="G9" s="312"/>
      <c r="H9" s="312"/>
    </row>
    <row r="10" spans="1:8" ht="31.5">
      <c r="A10" s="82"/>
      <c r="B10" s="82"/>
      <c r="C10" s="82"/>
      <c r="D10" s="82"/>
      <c r="E10" s="82"/>
      <c r="F10" s="82"/>
      <c r="G10" s="82"/>
      <c r="H10" s="82"/>
    </row>
    <row r="11" spans="1:8" ht="31.5">
      <c r="A11" s="82"/>
      <c r="B11" s="82"/>
      <c r="C11" s="82"/>
      <c r="D11" s="82"/>
      <c r="E11" s="82"/>
      <c r="F11" s="82"/>
      <c r="G11" s="82"/>
      <c r="H11" s="82"/>
    </row>
    <row r="12" spans="1:8" ht="31.5">
      <c r="A12" s="82"/>
      <c r="B12" s="82"/>
      <c r="C12" s="82"/>
      <c r="D12" s="82"/>
      <c r="E12" s="82"/>
      <c r="F12" s="82"/>
      <c r="G12" s="82"/>
      <c r="H12" s="82"/>
    </row>
    <row r="13" spans="1:8" ht="31.5">
      <c r="A13" s="82"/>
      <c r="B13" s="82"/>
      <c r="C13" s="82"/>
      <c r="D13" s="82"/>
      <c r="E13" s="82"/>
      <c r="F13" s="82"/>
      <c r="G13" s="82"/>
      <c r="H13" s="82"/>
    </row>
    <row r="14" spans="1:8" ht="31.5">
      <c r="A14" s="82"/>
      <c r="B14" s="82"/>
      <c r="C14" s="82"/>
      <c r="D14" s="82"/>
      <c r="E14" s="82"/>
      <c r="F14" s="82"/>
      <c r="G14" s="82"/>
      <c r="H14" s="82"/>
    </row>
    <row r="15" spans="1:8" ht="23.25" customHeight="1"/>
    <row r="16" spans="1:8" ht="23.25" customHeight="1"/>
    <row r="17" spans="1:8" ht="23.25" customHeight="1"/>
    <row r="18" spans="1:8" ht="23.25" customHeight="1"/>
    <row r="19" spans="1:8" ht="23.25" customHeight="1"/>
    <row r="20" spans="1:8" ht="23.25" customHeight="1"/>
    <row r="21" spans="1:8" ht="23.25" customHeight="1"/>
    <row r="22" spans="1:8" ht="41.25" customHeight="1">
      <c r="A22" s="310" t="s">
        <v>3</v>
      </c>
      <c r="B22" s="310"/>
      <c r="C22" s="310"/>
      <c r="D22" s="310"/>
      <c r="E22" s="310"/>
      <c r="F22" s="310"/>
      <c r="G22" s="310"/>
      <c r="H22" s="310"/>
    </row>
    <row r="23" spans="1:8" ht="23.25" customHeight="1">
      <c r="A23" s="82"/>
      <c r="B23" s="82"/>
      <c r="C23" s="82"/>
      <c r="D23" s="82"/>
      <c r="E23" s="82"/>
      <c r="F23" s="82"/>
      <c r="G23" s="82"/>
    </row>
    <row r="24" spans="1:8" ht="23.25" customHeight="1">
      <c r="A24" s="83"/>
      <c r="B24" s="83"/>
      <c r="C24" s="83"/>
      <c r="D24" s="83"/>
      <c r="E24" s="83"/>
      <c r="F24" s="83"/>
      <c r="G24" s="83"/>
    </row>
  </sheetData>
  <mergeCells count="2">
    <mergeCell ref="A22:H22"/>
    <mergeCell ref="A9:H9"/>
  </mergeCells>
  <phoneticPr fontId="4" type="noConversion"/>
  <printOptions horizontalCentered="1"/>
  <pageMargins left="0.43307086614173229" right="0.23622047244094491" top="1.299212598425197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zoomScaleNormal="100" zoomScaleSheetLayoutView="100" workbookViewId="0">
      <selection activeCell="G8" sqref="G8"/>
    </sheetView>
  </sheetViews>
  <sheetFormatPr defaultColWidth="11.42578125" defaultRowHeight="16.5"/>
  <cols>
    <col min="1" max="2" width="7.42578125" style="77" customWidth="1"/>
    <col min="3" max="3" width="28.140625" style="77" customWidth="1"/>
    <col min="4" max="4" width="15.7109375" style="77" customWidth="1"/>
    <col min="5" max="5" width="28.140625" style="77" customWidth="1"/>
    <col min="6" max="16384" width="11.42578125" style="77"/>
  </cols>
  <sheetData>
    <row r="1" spans="1:5" ht="23.25" customHeight="1"/>
    <row r="2" spans="1:5" s="214" customFormat="1" ht="36" customHeight="1">
      <c r="A2" s="314" t="s">
        <v>4</v>
      </c>
      <c r="B2" s="314"/>
      <c r="C2" s="314"/>
      <c r="D2" s="314"/>
      <c r="E2" s="314"/>
    </row>
    <row r="3" spans="1:5" s="214" customFormat="1" ht="54.75" customHeight="1">
      <c r="A3" s="314" t="s">
        <v>153</v>
      </c>
      <c r="B3" s="314"/>
      <c r="C3" s="314"/>
      <c r="D3" s="314"/>
      <c r="E3" s="314"/>
    </row>
    <row r="4" spans="1:5" s="215" customFormat="1" ht="24.95" customHeight="1">
      <c r="C4" s="219" t="s">
        <v>5</v>
      </c>
    </row>
    <row r="5" spans="1:5" s="215" customFormat="1" ht="39" customHeight="1">
      <c r="A5" s="248" t="s">
        <v>154</v>
      </c>
      <c r="B5" s="227"/>
      <c r="C5" s="228"/>
      <c r="D5" s="227"/>
      <c r="E5" s="227"/>
    </row>
    <row r="6" spans="1:5" s="215" customFormat="1" ht="24.95" customHeight="1">
      <c r="A6" s="313" t="s">
        <v>155</v>
      </c>
      <c r="B6" s="313"/>
      <c r="C6" s="229">
        <v>43867</v>
      </c>
      <c r="D6" s="230" t="s">
        <v>156</v>
      </c>
      <c r="E6" s="231">
        <v>1604615000</v>
      </c>
    </row>
    <row r="7" spans="1:5" s="215" customFormat="1" ht="24.95" customHeight="1">
      <c r="C7" s="219"/>
    </row>
    <row r="8" spans="1:5" s="216" customFormat="1" ht="24.95" customHeight="1">
      <c r="A8" s="243" t="s">
        <v>145</v>
      </c>
      <c r="B8" s="232" t="s">
        <v>157</v>
      </c>
      <c r="C8" s="233"/>
      <c r="D8" s="233"/>
      <c r="E8" s="234"/>
    </row>
    <row r="9" spans="1:5" s="216" customFormat="1" ht="24.95" customHeight="1">
      <c r="A9" s="244"/>
      <c r="B9" s="235" t="s">
        <v>158</v>
      </c>
      <c r="C9" s="236"/>
      <c r="D9" s="236"/>
      <c r="E9" s="237"/>
    </row>
    <row r="10" spans="1:5" s="217" customFormat="1" ht="24.95" customHeight="1">
      <c r="A10" s="245"/>
      <c r="B10" s="235"/>
      <c r="C10" s="238"/>
      <c r="D10" s="238"/>
      <c r="E10" s="239"/>
    </row>
    <row r="11" spans="1:5" s="217" customFormat="1" ht="24.95" customHeight="1">
      <c r="A11" s="245" t="s">
        <v>146</v>
      </c>
      <c r="B11" s="238" t="s">
        <v>159</v>
      </c>
      <c r="C11" s="238"/>
      <c r="D11" s="238"/>
      <c r="E11" s="239"/>
    </row>
    <row r="12" spans="1:5" s="217" customFormat="1" ht="24.95" customHeight="1">
      <c r="A12" s="245"/>
      <c r="B12" s="238"/>
      <c r="C12" s="238"/>
      <c r="D12" s="238"/>
      <c r="E12" s="239"/>
    </row>
    <row r="13" spans="1:5" s="217" customFormat="1" ht="24.95" customHeight="1">
      <c r="A13" s="245" t="s">
        <v>147</v>
      </c>
      <c r="B13" s="238" t="s">
        <v>160</v>
      </c>
      <c r="C13" s="238"/>
      <c r="D13" s="238"/>
      <c r="E13" s="239"/>
    </row>
    <row r="14" spans="1:5" s="217" customFormat="1" ht="24.95" customHeight="1">
      <c r="A14" s="245"/>
      <c r="B14" s="235" t="s">
        <v>161</v>
      </c>
      <c r="C14" s="238"/>
      <c r="D14" s="238"/>
      <c r="E14" s="239"/>
    </row>
    <row r="15" spans="1:5" s="217" customFormat="1" ht="24.95" customHeight="1">
      <c r="A15" s="245"/>
      <c r="B15" s="235" t="s">
        <v>162</v>
      </c>
      <c r="C15" s="238"/>
      <c r="D15" s="238"/>
      <c r="E15" s="239"/>
    </row>
    <row r="16" spans="1:5" s="217" customFormat="1" ht="24.95" customHeight="1">
      <c r="A16" s="245"/>
      <c r="B16" s="235" t="s">
        <v>163</v>
      </c>
      <c r="C16" s="238"/>
      <c r="D16" s="238"/>
      <c r="E16" s="239"/>
    </row>
    <row r="17" spans="1:5" s="217" customFormat="1" ht="24.95" customHeight="1">
      <c r="A17" s="245"/>
      <c r="B17" s="238"/>
      <c r="C17" s="238"/>
      <c r="D17" s="238"/>
      <c r="E17" s="239"/>
    </row>
    <row r="18" spans="1:5" s="217" customFormat="1" ht="24.95" customHeight="1">
      <c r="A18" s="245" t="s">
        <v>148</v>
      </c>
      <c r="B18" s="238" t="s">
        <v>164</v>
      </c>
      <c r="C18" s="238"/>
      <c r="D18" s="238"/>
      <c r="E18" s="239"/>
    </row>
    <row r="19" spans="1:5" s="217" customFormat="1" ht="24.95" customHeight="1">
      <c r="A19" s="245"/>
      <c r="B19" s="238" t="s">
        <v>165</v>
      </c>
      <c r="C19" s="238"/>
      <c r="D19" s="238"/>
      <c r="E19" s="239"/>
    </row>
    <row r="20" spans="1:5" s="217" customFormat="1" ht="24.95" customHeight="1">
      <c r="A20" s="245"/>
      <c r="B20" s="235" t="s">
        <v>166</v>
      </c>
      <c r="C20" s="238"/>
      <c r="D20" s="238"/>
      <c r="E20" s="239"/>
    </row>
    <row r="21" spans="1:5" s="217" customFormat="1" ht="24.95" customHeight="1">
      <c r="A21" s="245"/>
      <c r="B21" s="235" t="s">
        <v>149</v>
      </c>
      <c r="C21" s="238"/>
      <c r="D21" s="238"/>
      <c r="E21" s="239"/>
    </row>
    <row r="22" spans="1:5" s="217" customFormat="1" ht="24.95" customHeight="1">
      <c r="A22" s="245"/>
      <c r="B22" s="235" t="s">
        <v>150</v>
      </c>
      <c r="C22" s="238"/>
      <c r="D22" s="238"/>
      <c r="E22" s="239"/>
    </row>
    <row r="23" spans="1:5" s="217" customFormat="1" ht="24.95" customHeight="1">
      <c r="A23" s="246"/>
      <c r="B23" s="240"/>
      <c r="C23" s="241"/>
      <c r="D23" s="241"/>
      <c r="E23" s="242"/>
    </row>
    <row r="24" spans="1:5" s="217" customFormat="1" ht="24.95" customHeight="1">
      <c r="A24" s="247"/>
      <c r="B24" s="218"/>
    </row>
    <row r="25" spans="1:5" s="217" customFormat="1" ht="24.95" customHeight="1">
      <c r="A25" s="247"/>
      <c r="B25" s="218"/>
    </row>
    <row r="26" spans="1:5" s="217" customFormat="1" ht="24.95" customHeight="1">
      <c r="A26" s="247"/>
      <c r="B26" s="218"/>
    </row>
    <row r="27" spans="1:5" s="217" customFormat="1" ht="24.95" customHeight="1">
      <c r="A27" s="247"/>
      <c r="B27" s="218"/>
    </row>
    <row r="28" spans="1:5" s="217" customFormat="1" ht="24.95" customHeight="1">
      <c r="A28" s="247"/>
      <c r="B28" s="218"/>
    </row>
    <row r="29" spans="1:5" s="217" customFormat="1" ht="24.95" customHeight="1">
      <c r="B29" s="218"/>
    </row>
    <row r="30" spans="1:5">
      <c r="B30" s="218"/>
    </row>
    <row r="31" spans="1:5">
      <c r="B31" s="218"/>
    </row>
  </sheetData>
  <mergeCells count="3">
    <mergeCell ref="A6:B6"/>
    <mergeCell ref="A3:E3"/>
    <mergeCell ref="A2:E2"/>
  </mergeCells>
  <phoneticPr fontId="4" type="noConversion"/>
  <printOptions horizontalCentered="1"/>
  <pageMargins left="0.39370078740157483" right="0.39370078740157483" top="1.299212598425197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F9" sqref="F9"/>
    </sheetView>
  </sheetViews>
  <sheetFormatPr defaultColWidth="20.85546875" defaultRowHeight="22.5" customHeight="1"/>
  <cols>
    <col min="1" max="1" width="16.140625" style="298" customWidth="1"/>
    <col min="2" max="2" width="8.28515625" style="298" customWidth="1"/>
    <col min="3" max="3" width="16.28515625" style="298" customWidth="1"/>
    <col min="4" max="4" width="22.85546875" style="298" customWidth="1"/>
    <col min="5" max="5" width="16.7109375" style="298" customWidth="1"/>
    <col min="6" max="16384" width="20.85546875" style="298"/>
  </cols>
  <sheetData>
    <row r="1" spans="1:5" ht="41.25" customHeight="1">
      <c r="A1" s="315" t="s">
        <v>349</v>
      </c>
      <c r="B1" s="315"/>
      <c r="C1" s="315"/>
      <c r="D1" s="315"/>
      <c r="E1" s="315"/>
    </row>
    <row r="3" spans="1:5" ht="22.5" customHeight="1">
      <c r="A3" s="299" t="s">
        <v>357</v>
      </c>
      <c r="B3" s="299" t="s">
        <v>355</v>
      </c>
    </row>
    <row r="4" spans="1:5" ht="22.5" customHeight="1">
      <c r="A4" s="300" t="s">
        <v>358</v>
      </c>
      <c r="B4" s="300" t="s">
        <v>351</v>
      </c>
    </row>
    <row r="5" spans="1:5" ht="22.5" customHeight="1">
      <c r="A5" s="300" t="s">
        <v>359</v>
      </c>
      <c r="B5" s="300" t="s">
        <v>356</v>
      </c>
    </row>
    <row r="6" spans="1:5" ht="22.5" customHeight="1">
      <c r="A6" s="300"/>
      <c r="B6" s="300"/>
      <c r="E6" s="303" t="s">
        <v>360</v>
      </c>
    </row>
    <row r="7" spans="1:5" ht="29.25" customHeight="1">
      <c r="A7" s="392" t="s">
        <v>350</v>
      </c>
      <c r="B7" s="393" t="s">
        <v>352</v>
      </c>
      <c r="C7" s="394"/>
      <c r="D7" s="395" t="s">
        <v>353</v>
      </c>
      <c r="E7" s="395" t="s">
        <v>354</v>
      </c>
    </row>
    <row r="8" spans="1:5" ht="35.25" customHeight="1">
      <c r="A8" s="396" t="s">
        <v>351</v>
      </c>
      <c r="B8" s="397">
        <f>C19</f>
        <v>1604615</v>
      </c>
      <c r="C8" s="398"/>
      <c r="D8" s="399">
        <f>세입!E83</f>
        <v>1456428</v>
      </c>
      <c r="E8" s="399">
        <f>B8-D8</f>
        <v>148187</v>
      </c>
    </row>
    <row r="10" spans="1:5" ht="22.5" customHeight="1">
      <c r="A10" s="391" t="s">
        <v>369</v>
      </c>
      <c r="B10" s="391"/>
      <c r="C10" s="391"/>
      <c r="D10" s="391" t="s">
        <v>370</v>
      </c>
      <c r="E10" s="391"/>
    </row>
    <row r="11" spans="1:5" ht="22.5" customHeight="1" thickBot="1">
      <c r="A11" s="389" t="s">
        <v>371</v>
      </c>
      <c r="B11" s="390"/>
      <c r="C11" s="374" t="s">
        <v>372</v>
      </c>
      <c r="D11" s="374" t="s">
        <v>373</v>
      </c>
      <c r="E11" s="374" t="s">
        <v>374</v>
      </c>
    </row>
    <row r="12" spans="1:5" ht="22.5" customHeight="1" thickTop="1">
      <c r="A12" s="375" t="s">
        <v>367</v>
      </c>
      <c r="B12" s="376"/>
      <c r="C12" s="301">
        <f>세입!D6</f>
        <v>711956</v>
      </c>
      <c r="D12" s="377" t="s">
        <v>361</v>
      </c>
      <c r="E12" s="301">
        <f>세출!D6</f>
        <v>885386.4</v>
      </c>
    </row>
    <row r="13" spans="1:5" ht="22.5" customHeight="1">
      <c r="A13" s="375" t="s">
        <v>362</v>
      </c>
      <c r="B13" s="376"/>
      <c r="C13" s="301">
        <f>세입!D31</f>
        <v>470795</v>
      </c>
      <c r="D13" s="377" t="s">
        <v>363</v>
      </c>
      <c r="E13" s="301">
        <f>세출!D81</f>
        <v>67166</v>
      </c>
    </row>
    <row r="14" spans="1:5" ht="22.5" customHeight="1">
      <c r="A14" s="375" t="s">
        <v>344</v>
      </c>
      <c r="B14" s="376"/>
      <c r="C14" s="301">
        <f>세입!D50</f>
        <v>418568</v>
      </c>
      <c r="D14" s="377" t="s">
        <v>364</v>
      </c>
      <c r="E14" s="301">
        <f>세출!D121</f>
        <v>121519</v>
      </c>
    </row>
    <row r="15" spans="1:5" ht="22.5" customHeight="1">
      <c r="A15" s="375" t="s">
        <v>365</v>
      </c>
      <c r="B15" s="376"/>
      <c r="C15" s="301">
        <f>세입!D63</f>
        <v>3242</v>
      </c>
      <c r="D15" s="377" t="s">
        <v>346</v>
      </c>
      <c r="E15" s="301">
        <f>세출!D141</f>
        <v>469219</v>
      </c>
    </row>
    <row r="16" spans="1:5" ht="22.5" customHeight="1">
      <c r="A16" s="378" t="s">
        <v>345</v>
      </c>
      <c r="B16" s="379"/>
      <c r="C16" s="380">
        <f>세입!D78</f>
        <v>54</v>
      </c>
      <c r="D16" s="377" t="s">
        <v>368</v>
      </c>
      <c r="E16" s="301">
        <f>세출!D171</f>
        <v>0</v>
      </c>
    </row>
    <row r="17" spans="1:5" ht="22.5" customHeight="1">
      <c r="A17" s="381"/>
      <c r="B17" s="382"/>
      <c r="C17" s="383"/>
      <c r="D17" s="377" t="s">
        <v>347</v>
      </c>
      <c r="E17" s="301">
        <f>세출!D175</f>
        <v>61325</v>
      </c>
    </row>
    <row r="18" spans="1:5" ht="22.5" customHeight="1" thickBot="1">
      <c r="A18" s="381"/>
      <c r="B18" s="382"/>
      <c r="C18" s="383"/>
      <c r="D18" s="384" t="s">
        <v>366</v>
      </c>
      <c r="E18" s="380">
        <f>세출!D208</f>
        <v>0</v>
      </c>
    </row>
    <row r="19" spans="1:5" ht="22.5" customHeight="1" thickTop="1">
      <c r="A19" s="385" t="s">
        <v>348</v>
      </c>
      <c r="B19" s="386"/>
      <c r="C19" s="387">
        <f>SUM(C12:C18)</f>
        <v>1604615</v>
      </c>
      <c r="D19" s="388" t="s">
        <v>348</v>
      </c>
      <c r="E19" s="387">
        <f>SUM(E12:E18)</f>
        <v>1604615.4</v>
      </c>
    </row>
    <row r="20" spans="1:5" ht="22.5" customHeight="1">
      <c r="C20" s="302"/>
    </row>
  </sheetData>
  <mergeCells count="14">
    <mergeCell ref="A11:B11"/>
    <mergeCell ref="B7:C7"/>
    <mergeCell ref="B8:C8"/>
    <mergeCell ref="A10:C10"/>
    <mergeCell ref="D10:E10"/>
    <mergeCell ref="A1:E1"/>
    <mergeCell ref="A18:B18"/>
    <mergeCell ref="A19:B19"/>
    <mergeCell ref="A12:B12"/>
    <mergeCell ref="A13:B13"/>
    <mergeCell ref="A14:B14"/>
    <mergeCell ref="A15:B15"/>
    <mergeCell ref="A16:B16"/>
    <mergeCell ref="A17:B17"/>
  </mergeCells>
  <phoneticPr fontId="2" type="noConversion"/>
  <printOptions horizontalCentered="1"/>
  <pageMargins left="0.39370078740157483" right="0.39370078740157483" top="1.1811023622047245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view="pageBreakPreview" zoomScaleNormal="100" zoomScaleSheetLayoutView="100" zoomScalePageLayoutView="51" workbookViewId="0">
      <selection activeCell="D12" sqref="D12"/>
    </sheetView>
  </sheetViews>
  <sheetFormatPr defaultColWidth="10.28515625" defaultRowHeight="21" customHeight="1"/>
  <cols>
    <col min="1" max="2" width="5" style="209" customWidth="1"/>
    <col min="3" max="3" width="26.42578125" style="209" customWidth="1"/>
    <col min="4" max="5" width="12.7109375" style="210" customWidth="1"/>
    <col min="6" max="6" width="12.7109375" style="260" customWidth="1"/>
    <col min="7" max="7" width="47.140625" style="209" customWidth="1"/>
    <col min="8" max="8" width="13.85546875" style="84" bestFit="1" customWidth="1"/>
    <col min="9" max="16384" width="10.28515625" style="84"/>
  </cols>
  <sheetData>
    <row r="1" spans="1:8" ht="32.25" customHeight="1">
      <c r="A1" s="320" t="s">
        <v>168</v>
      </c>
      <c r="B1" s="320"/>
      <c r="C1" s="320"/>
      <c r="D1" s="320"/>
      <c r="E1" s="320"/>
      <c r="F1" s="320"/>
      <c r="G1" s="320"/>
      <c r="H1" s="320"/>
    </row>
    <row r="2" spans="1:8" ht="13.5" customHeight="1">
      <c r="A2" s="49"/>
      <c r="B2" s="49"/>
      <c r="C2" s="49"/>
      <c r="D2" s="49"/>
      <c r="E2" s="49"/>
      <c r="F2" s="259"/>
      <c r="G2" s="49"/>
      <c r="H2" s="49"/>
    </row>
    <row r="3" spans="1:8" ht="18.75" customHeight="1">
      <c r="A3" s="18"/>
      <c r="G3" s="1"/>
      <c r="H3" s="1" t="s">
        <v>6</v>
      </c>
    </row>
    <row r="4" spans="1:8" ht="18.75" customHeight="1">
      <c r="A4" s="329" t="s">
        <v>7</v>
      </c>
      <c r="B4" s="330"/>
      <c r="C4" s="331"/>
      <c r="D4" s="69" t="s">
        <v>169</v>
      </c>
      <c r="E4" s="70" t="s">
        <v>170</v>
      </c>
      <c r="F4" s="73" t="s">
        <v>8</v>
      </c>
      <c r="G4" s="316" t="s">
        <v>9</v>
      </c>
      <c r="H4" s="317"/>
    </row>
    <row r="5" spans="1:8" ht="18.75" customHeight="1" thickBot="1">
      <c r="A5" s="50" t="s">
        <v>0</v>
      </c>
      <c r="B5" s="2" t="s">
        <v>1</v>
      </c>
      <c r="C5" s="2" t="s">
        <v>2</v>
      </c>
      <c r="D5" s="71" t="s">
        <v>10</v>
      </c>
      <c r="E5" s="72" t="s">
        <v>11</v>
      </c>
      <c r="F5" s="261" t="s">
        <v>12</v>
      </c>
      <c r="G5" s="318"/>
      <c r="H5" s="319"/>
    </row>
    <row r="6" spans="1:8" ht="18.75" customHeight="1" thickTop="1">
      <c r="A6" s="332" t="s">
        <v>13</v>
      </c>
      <c r="B6" s="333"/>
      <c r="C6" s="333"/>
      <c r="D6" s="32">
        <f>D7+D9+D12+D16+D20</f>
        <v>711956</v>
      </c>
      <c r="E6" s="32">
        <f>E7+E9+E12+E16+E20</f>
        <v>664123</v>
      </c>
      <c r="F6" s="262">
        <f>F7+F9+F12+F16+F20</f>
        <v>47833</v>
      </c>
      <c r="G6" s="36" t="s">
        <v>14</v>
      </c>
      <c r="H6" s="51"/>
    </row>
    <row r="7" spans="1:8" ht="18.75" customHeight="1">
      <c r="A7" s="334" t="s">
        <v>14</v>
      </c>
      <c r="B7" s="338" t="s">
        <v>15</v>
      </c>
      <c r="C7" s="339"/>
      <c r="D7" s="34">
        <f>D8</f>
        <v>411858</v>
      </c>
      <c r="E7" s="34">
        <f>E8</f>
        <v>425040</v>
      </c>
      <c r="F7" s="263">
        <f>F8</f>
        <v>-13182</v>
      </c>
      <c r="G7" s="37" t="s">
        <v>14</v>
      </c>
      <c r="H7" s="46"/>
    </row>
    <row r="8" spans="1:8" ht="18.75" customHeight="1">
      <c r="A8" s="334"/>
      <c r="B8" s="6" t="s">
        <v>14</v>
      </c>
      <c r="C8" s="23" t="s">
        <v>15</v>
      </c>
      <c r="D8" s="35">
        <f>SUM(H8:H8)/1000</f>
        <v>411858</v>
      </c>
      <c r="E8" s="35">
        <v>425040</v>
      </c>
      <c r="F8" s="264">
        <f>D8-E8</f>
        <v>-13182</v>
      </c>
      <c r="G8" s="38" t="s">
        <v>180</v>
      </c>
      <c r="H8" s="47">
        <f>ROUNDDOWN(34321500*12,-3)</f>
        <v>411858000</v>
      </c>
    </row>
    <row r="9" spans="1:8" ht="18.75" customHeight="1">
      <c r="A9" s="327" t="s">
        <v>14</v>
      </c>
      <c r="B9" s="340" t="s">
        <v>16</v>
      </c>
      <c r="C9" s="341"/>
      <c r="D9" s="33">
        <f>D10</f>
        <v>131741</v>
      </c>
      <c r="E9" s="33">
        <f>E10</f>
        <v>105800</v>
      </c>
      <c r="F9" s="265">
        <f>F10</f>
        <v>25941</v>
      </c>
      <c r="G9" s="39" t="s">
        <v>14</v>
      </c>
      <c r="H9" s="52"/>
    </row>
    <row r="10" spans="1:8" ht="18.75" customHeight="1">
      <c r="A10" s="327"/>
      <c r="B10" s="221" t="s">
        <v>14</v>
      </c>
      <c r="C10" s="15" t="s">
        <v>17</v>
      </c>
      <c r="D10" s="19">
        <f>SUM(H10:H11)/1000</f>
        <v>131741</v>
      </c>
      <c r="E10" s="19">
        <f>5000+100800</f>
        <v>105800</v>
      </c>
      <c r="F10" s="266">
        <f>D10-E10</f>
        <v>25941</v>
      </c>
      <c r="G10" s="15" t="s">
        <v>186</v>
      </c>
      <c r="H10" s="53">
        <f>ROUNDDOWN(10395100*12,-3)</f>
        <v>124741000</v>
      </c>
    </row>
    <row r="11" spans="1:8" ht="18.75" customHeight="1">
      <c r="A11" s="220"/>
      <c r="B11" s="17"/>
      <c r="C11" s="16"/>
      <c r="D11" s="20"/>
      <c r="E11" s="20"/>
      <c r="F11" s="267"/>
      <c r="G11" s="16" t="s">
        <v>142</v>
      </c>
      <c r="H11" s="54">
        <v>7000000</v>
      </c>
    </row>
    <row r="12" spans="1:8" ht="18.75" customHeight="1">
      <c r="A12" s="327" t="s">
        <v>14</v>
      </c>
      <c r="B12" s="323" t="s">
        <v>18</v>
      </c>
      <c r="C12" s="324"/>
      <c r="D12" s="25">
        <f>D13+D14+D15</f>
        <v>0</v>
      </c>
      <c r="E12" s="25">
        <f>E13+E14+E15</f>
        <v>0</v>
      </c>
      <c r="F12" s="268">
        <f>F13+F14+F15</f>
        <v>0</v>
      </c>
      <c r="G12" s="13" t="s">
        <v>14</v>
      </c>
      <c r="H12" s="55"/>
    </row>
    <row r="13" spans="1:8" ht="18.75" customHeight="1">
      <c r="A13" s="327"/>
      <c r="B13" s="221" t="s">
        <v>14</v>
      </c>
      <c r="C13" s="4" t="s">
        <v>19</v>
      </c>
      <c r="D13" s="26"/>
      <c r="E13" s="26"/>
      <c r="F13" s="269">
        <f>D13-E13</f>
        <v>0</v>
      </c>
      <c r="G13" s="4" t="s">
        <v>14</v>
      </c>
      <c r="H13" s="56"/>
    </row>
    <row r="14" spans="1:8" ht="18.75" customHeight="1">
      <c r="A14" s="220" t="s">
        <v>14</v>
      </c>
      <c r="B14" s="221" t="s">
        <v>14</v>
      </c>
      <c r="C14" s="4" t="s">
        <v>20</v>
      </c>
      <c r="D14" s="26"/>
      <c r="E14" s="26"/>
      <c r="F14" s="269">
        <f>D14-E14</f>
        <v>0</v>
      </c>
      <c r="G14" s="4" t="s">
        <v>14</v>
      </c>
      <c r="H14" s="56"/>
    </row>
    <row r="15" spans="1:8" ht="18.75" customHeight="1">
      <c r="A15" s="220" t="s">
        <v>14</v>
      </c>
      <c r="B15" s="3" t="s">
        <v>14</v>
      </c>
      <c r="C15" s="4" t="s">
        <v>21</v>
      </c>
      <c r="D15" s="26"/>
      <c r="E15" s="26"/>
      <c r="F15" s="269">
        <f>D15-E15</f>
        <v>0</v>
      </c>
      <c r="G15" s="4"/>
      <c r="H15" s="56"/>
    </row>
    <row r="16" spans="1:8" ht="18.75" customHeight="1">
      <c r="A16" s="220" t="s">
        <v>14</v>
      </c>
      <c r="B16" s="323" t="s">
        <v>22</v>
      </c>
      <c r="C16" s="324"/>
      <c r="D16" s="25">
        <f>D17+D18+D19</f>
        <v>0</v>
      </c>
      <c r="E16" s="25">
        <f>E17+E18+E19</f>
        <v>0</v>
      </c>
      <c r="F16" s="270">
        <f>F17+F18+F19</f>
        <v>0</v>
      </c>
      <c r="G16" s="13" t="s">
        <v>14</v>
      </c>
      <c r="H16" s="55"/>
    </row>
    <row r="17" spans="1:8" ht="18.75" customHeight="1">
      <c r="A17" s="220" t="s">
        <v>14</v>
      </c>
      <c r="B17" s="221" t="s">
        <v>14</v>
      </c>
      <c r="C17" s="4" t="s">
        <v>19</v>
      </c>
      <c r="D17" s="26"/>
      <c r="E17" s="26"/>
      <c r="F17" s="269"/>
      <c r="G17" s="4" t="s">
        <v>14</v>
      </c>
      <c r="H17" s="56"/>
    </row>
    <row r="18" spans="1:8" ht="18.75" customHeight="1">
      <c r="A18" s="220" t="s">
        <v>14</v>
      </c>
      <c r="B18" s="221" t="s">
        <v>14</v>
      </c>
      <c r="C18" s="4" t="s">
        <v>20</v>
      </c>
      <c r="D18" s="26"/>
      <c r="E18" s="26"/>
      <c r="F18" s="269">
        <f>D18-E18</f>
        <v>0</v>
      </c>
      <c r="G18" s="4"/>
      <c r="H18" s="56"/>
    </row>
    <row r="19" spans="1:8" ht="18.75" customHeight="1">
      <c r="A19" s="220" t="s">
        <v>14</v>
      </c>
      <c r="B19" s="3" t="s">
        <v>14</v>
      </c>
      <c r="C19" s="4" t="s">
        <v>21</v>
      </c>
      <c r="D19" s="26"/>
      <c r="E19" s="26"/>
      <c r="F19" s="269"/>
      <c r="G19" s="4"/>
      <c r="H19" s="56"/>
    </row>
    <row r="20" spans="1:8" ht="18.75" customHeight="1">
      <c r="A20" s="220" t="s">
        <v>14</v>
      </c>
      <c r="B20" s="323" t="s">
        <v>23</v>
      </c>
      <c r="C20" s="324"/>
      <c r="D20" s="25">
        <f>SUM(D21:D30)</f>
        <v>168357</v>
      </c>
      <c r="E20" s="25">
        <f>E21+E22+E26</f>
        <v>133283</v>
      </c>
      <c r="F20" s="268">
        <f>F21+F22+F26</f>
        <v>35074</v>
      </c>
      <c r="G20" s="13" t="s">
        <v>24</v>
      </c>
      <c r="H20" s="55"/>
    </row>
    <row r="21" spans="1:8" ht="18.75" customHeight="1">
      <c r="A21" s="220" t="s">
        <v>14</v>
      </c>
      <c r="B21" s="221" t="s">
        <v>14</v>
      </c>
      <c r="C21" s="4" t="s">
        <v>19</v>
      </c>
      <c r="D21" s="26"/>
      <c r="E21" s="26"/>
      <c r="F21" s="269">
        <f>D21-E21</f>
        <v>0</v>
      </c>
      <c r="G21" s="4" t="s">
        <v>14</v>
      </c>
      <c r="H21" s="56"/>
    </row>
    <row r="22" spans="1:8" ht="18.75" customHeight="1">
      <c r="A22" s="220" t="s">
        <v>14</v>
      </c>
      <c r="B22" s="221" t="s">
        <v>14</v>
      </c>
      <c r="C22" s="15" t="s">
        <v>20</v>
      </c>
      <c r="D22" s="19">
        <f>SUM(H22:H25)/1000</f>
        <v>114860</v>
      </c>
      <c r="E22" s="19">
        <v>109283</v>
      </c>
      <c r="F22" s="266">
        <f>D22-E22</f>
        <v>5577</v>
      </c>
      <c r="G22" s="15" t="s">
        <v>178</v>
      </c>
      <c r="H22" s="53">
        <f>6025000*12</f>
        <v>72300000</v>
      </c>
    </row>
    <row r="23" spans="1:8" ht="18.75" customHeight="1">
      <c r="A23" s="220"/>
      <c r="B23" s="221"/>
      <c r="C23" s="17"/>
      <c r="D23" s="21"/>
      <c r="E23" s="21"/>
      <c r="F23" s="271"/>
      <c r="G23" s="17" t="s">
        <v>143</v>
      </c>
      <c r="H23" s="57">
        <v>2000000</v>
      </c>
    </row>
    <row r="24" spans="1:8" ht="18.75" customHeight="1">
      <c r="A24" s="220"/>
      <c r="B24" s="221"/>
      <c r="C24" s="17"/>
      <c r="D24" s="21"/>
      <c r="E24" s="21"/>
      <c r="F24" s="271"/>
      <c r="G24" s="17" t="s">
        <v>179</v>
      </c>
      <c r="H24" s="57">
        <f>3180000*12</f>
        <v>38160000</v>
      </c>
    </row>
    <row r="25" spans="1:8" ht="18.75" customHeight="1">
      <c r="A25" s="220"/>
      <c r="B25" s="221"/>
      <c r="C25" s="17"/>
      <c r="D25" s="21"/>
      <c r="E25" s="21"/>
      <c r="F25" s="271"/>
      <c r="G25" s="17" t="s">
        <v>144</v>
      </c>
      <c r="H25" s="57">
        <v>2400000</v>
      </c>
    </row>
    <row r="26" spans="1:8" ht="18.75" customHeight="1">
      <c r="A26" s="222" t="s">
        <v>14</v>
      </c>
      <c r="B26" s="249" t="s">
        <v>14</v>
      </c>
      <c r="C26" s="249" t="s">
        <v>21</v>
      </c>
      <c r="D26" s="251">
        <f>SUM(H26:H30)/1000</f>
        <v>53497</v>
      </c>
      <c r="E26" s="251">
        <v>24000</v>
      </c>
      <c r="F26" s="272">
        <f>D26-E26</f>
        <v>29497</v>
      </c>
      <c r="G26" s="252" t="s">
        <v>177</v>
      </c>
      <c r="H26" s="253">
        <f>ROUNDDOWN(3283340*12,-3)</f>
        <v>39400000</v>
      </c>
    </row>
    <row r="27" spans="1:8" ht="18.75" customHeight="1">
      <c r="A27" s="222"/>
      <c r="B27" s="222"/>
      <c r="C27" s="222"/>
      <c r="D27" s="21"/>
      <c r="E27" s="21"/>
      <c r="F27" s="271"/>
      <c r="G27" s="17" t="s">
        <v>184</v>
      </c>
      <c r="H27" s="57">
        <v>765000</v>
      </c>
    </row>
    <row r="28" spans="1:8" ht="18.75" customHeight="1">
      <c r="A28" s="222"/>
      <c r="B28" s="222"/>
      <c r="C28" s="222"/>
      <c r="D28" s="21"/>
      <c r="E28" s="21"/>
      <c r="F28" s="271"/>
      <c r="G28" s="17" t="s">
        <v>181</v>
      </c>
      <c r="H28" s="57">
        <v>4332000</v>
      </c>
    </row>
    <row r="29" spans="1:8" ht="18.75" customHeight="1">
      <c r="A29" s="222"/>
      <c r="B29" s="222"/>
      <c r="C29" s="222"/>
      <c r="D29" s="21"/>
      <c r="E29" s="21"/>
      <c r="F29" s="271"/>
      <c r="G29" s="17" t="s">
        <v>182</v>
      </c>
      <c r="H29" s="57">
        <v>1000000</v>
      </c>
    </row>
    <row r="30" spans="1:8" ht="18.75" customHeight="1">
      <c r="A30" s="222"/>
      <c r="B30" s="6"/>
      <c r="C30" s="6"/>
      <c r="D30" s="28"/>
      <c r="E30" s="28"/>
      <c r="F30" s="273"/>
      <c r="G30" s="7" t="s">
        <v>183</v>
      </c>
      <c r="H30" s="250">
        <v>8000000</v>
      </c>
    </row>
    <row r="31" spans="1:8" ht="18.75" customHeight="1">
      <c r="A31" s="321" t="s">
        <v>25</v>
      </c>
      <c r="B31" s="337"/>
      <c r="C31" s="337"/>
      <c r="D31" s="24">
        <f>D32+D38+D42+D45</f>
        <v>470795</v>
      </c>
      <c r="E31" s="24">
        <f>E32+E38+E42+E45</f>
        <v>433776</v>
      </c>
      <c r="F31" s="274">
        <f>F32+F38+F42+F45</f>
        <v>37019</v>
      </c>
      <c r="G31" s="41" t="s">
        <v>14</v>
      </c>
      <c r="H31" s="58"/>
    </row>
    <row r="32" spans="1:8" ht="18.75" customHeight="1">
      <c r="A32" s="220" t="s">
        <v>14</v>
      </c>
      <c r="B32" s="323" t="s">
        <v>26</v>
      </c>
      <c r="C32" s="324"/>
      <c r="D32" s="25">
        <f>SUM(D33:D37)</f>
        <v>130531</v>
      </c>
      <c r="E32" s="25">
        <f>E33+E34</f>
        <v>126184</v>
      </c>
      <c r="F32" s="270">
        <f>F33+F34</f>
        <v>4347</v>
      </c>
      <c r="G32" s="13" t="s">
        <v>14</v>
      </c>
      <c r="H32" s="55"/>
    </row>
    <row r="33" spans="1:8" ht="18.75" customHeight="1">
      <c r="A33" s="220" t="s">
        <v>14</v>
      </c>
      <c r="B33" s="221" t="s">
        <v>14</v>
      </c>
      <c r="C33" s="4" t="s">
        <v>27</v>
      </c>
      <c r="D33" s="26">
        <f>SUM(H33/1000)</f>
        <v>9900</v>
      </c>
      <c r="E33" s="26">
        <v>9400</v>
      </c>
      <c r="F33" s="269">
        <f>D33-E33</f>
        <v>500</v>
      </c>
      <c r="G33" s="4" t="s">
        <v>185</v>
      </c>
      <c r="H33" s="56">
        <v>9900000</v>
      </c>
    </row>
    <row r="34" spans="1:8" ht="18.75" customHeight="1">
      <c r="A34" s="220" t="s">
        <v>14</v>
      </c>
      <c r="B34" s="17" t="s">
        <v>14</v>
      </c>
      <c r="C34" s="15" t="s">
        <v>28</v>
      </c>
      <c r="D34" s="19">
        <f>SUM(H34:H37)/1000</f>
        <v>120631</v>
      </c>
      <c r="E34" s="19">
        <v>116784</v>
      </c>
      <c r="F34" s="266">
        <f>D34-E34</f>
        <v>3847</v>
      </c>
      <c r="G34" s="15" t="s">
        <v>187</v>
      </c>
      <c r="H34" s="53">
        <v>30191000</v>
      </c>
    </row>
    <row r="35" spans="1:8" ht="18.75" customHeight="1">
      <c r="A35" s="220"/>
      <c r="B35" s="17"/>
      <c r="C35" s="17"/>
      <c r="D35" s="21"/>
      <c r="E35" s="21"/>
      <c r="F35" s="271"/>
      <c r="G35" s="17" t="s">
        <v>188</v>
      </c>
      <c r="H35" s="57">
        <v>30285000</v>
      </c>
    </row>
    <row r="36" spans="1:8" ht="18.75" customHeight="1">
      <c r="A36" s="220"/>
      <c r="B36" s="17"/>
      <c r="C36" s="17"/>
      <c r="D36" s="21"/>
      <c r="E36" s="21"/>
      <c r="F36" s="271"/>
      <c r="G36" s="17" t="s">
        <v>190</v>
      </c>
      <c r="H36" s="57">
        <v>29477000</v>
      </c>
    </row>
    <row r="37" spans="1:8" ht="18.75" customHeight="1">
      <c r="A37" s="220"/>
      <c r="B37" s="17"/>
      <c r="C37" s="16"/>
      <c r="D37" s="20"/>
      <c r="E37" s="20"/>
      <c r="F37" s="275"/>
      <c r="G37" s="16" t="s">
        <v>189</v>
      </c>
      <c r="H37" s="54">
        <v>30678000</v>
      </c>
    </row>
    <row r="38" spans="1:8" ht="18.75" customHeight="1">
      <c r="A38" s="220" t="s">
        <v>14</v>
      </c>
      <c r="B38" s="323" t="s">
        <v>29</v>
      </c>
      <c r="C38" s="324"/>
      <c r="D38" s="25">
        <f>SUM(D39:D41)</f>
        <v>265793</v>
      </c>
      <c r="E38" s="25">
        <f>E39+E41</f>
        <v>118840</v>
      </c>
      <c r="F38" s="270">
        <f>F39+F41</f>
        <v>146953</v>
      </c>
      <c r="G38" s="13" t="s">
        <v>14</v>
      </c>
      <c r="H38" s="55"/>
    </row>
    <row r="39" spans="1:8" ht="18.75" customHeight="1">
      <c r="A39" s="220" t="s">
        <v>14</v>
      </c>
      <c r="B39" s="221" t="s">
        <v>14</v>
      </c>
      <c r="C39" s="9" t="s">
        <v>30</v>
      </c>
      <c r="D39" s="19">
        <f>SUM(H39:H40)/1000</f>
        <v>262653</v>
      </c>
      <c r="E39" s="255">
        <v>100800</v>
      </c>
      <c r="F39" s="266">
        <f>D39-E39</f>
        <v>161853</v>
      </c>
      <c r="G39" s="42" t="s">
        <v>194</v>
      </c>
      <c r="H39" s="59">
        <v>137912000</v>
      </c>
    </row>
    <row r="40" spans="1:8" ht="18.75" customHeight="1">
      <c r="A40" s="220"/>
      <c r="B40" s="221"/>
      <c r="C40" s="11"/>
      <c r="D40" s="20"/>
      <c r="E40" s="256"/>
      <c r="F40" s="276"/>
      <c r="G40" s="16" t="s">
        <v>186</v>
      </c>
      <c r="H40" s="254">
        <f>H10</f>
        <v>124741000</v>
      </c>
    </row>
    <row r="41" spans="1:8" ht="18.75" customHeight="1">
      <c r="A41" s="60" t="s">
        <v>14</v>
      </c>
      <c r="B41" s="12" t="s">
        <v>14</v>
      </c>
      <c r="C41" s="9" t="s">
        <v>31</v>
      </c>
      <c r="D41" s="19">
        <f>SUM(H41)/1000</f>
        <v>3140</v>
      </c>
      <c r="E41" s="255">
        <v>18040</v>
      </c>
      <c r="F41" s="266">
        <f>D41-E41</f>
        <v>-14900</v>
      </c>
      <c r="G41" s="42" t="s">
        <v>195</v>
      </c>
      <c r="H41" s="59">
        <v>3140000</v>
      </c>
    </row>
    <row r="42" spans="1:8" ht="18.75" customHeight="1">
      <c r="A42" s="220" t="s">
        <v>14</v>
      </c>
      <c r="B42" s="323" t="s">
        <v>32</v>
      </c>
      <c r="C42" s="324"/>
      <c r="D42" s="25">
        <f>SUM(D43:D44)</f>
        <v>43867</v>
      </c>
      <c r="E42" s="25">
        <f>E43+E44</f>
        <v>47264</v>
      </c>
      <c r="F42" s="270">
        <f>F43+F44</f>
        <v>-3397</v>
      </c>
      <c r="G42" s="13" t="s">
        <v>14</v>
      </c>
      <c r="H42" s="55"/>
    </row>
    <row r="43" spans="1:8" ht="18.75" customHeight="1">
      <c r="A43" s="220" t="s">
        <v>14</v>
      </c>
      <c r="B43" s="221" t="s">
        <v>14</v>
      </c>
      <c r="C43" s="9" t="s">
        <v>33</v>
      </c>
      <c r="D43" s="19">
        <f>H43/1000</f>
        <v>31791</v>
      </c>
      <c r="E43" s="19">
        <v>33971</v>
      </c>
      <c r="F43" s="266">
        <f>D43-E43</f>
        <v>-2180</v>
      </c>
      <c r="G43" s="15" t="s">
        <v>197</v>
      </c>
      <c r="H43" s="53">
        <v>31791000</v>
      </c>
    </row>
    <row r="44" spans="1:8" ht="18.75" customHeight="1">
      <c r="A44" s="220" t="s">
        <v>14</v>
      </c>
      <c r="B44" s="3" t="s">
        <v>14</v>
      </c>
      <c r="C44" s="4" t="s">
        <v>34</v>
      </c>
      <c r="D44" s="19">
        <f>H44/1000</f>
        <v>12076</v>
      </c>
      <c r="E44" s="26">
        <v>13293</v>
      </c>
      <c r="F44" s="269">
        <f>D44-E44</f>
        <v>-1217</v>
      </c>
      <c r="G44" s="43" t="s">
        <v>198</v>
      </c>
      <c r="H44" s="61">
        <v>12076000</v>
      </c>
    </row>
    <row r="45" spans="1:8" ht="18.75" customHeight="1">
      <c r="A45" s="220" t="s">
        <v>14</v>
      </c>
      <c r="B45" s="323" t="s">
        <v>35</v>
      </c>
      <c r="C45" s="324"/>
      <c r="D45" s="25">
        <f>SUM(D46:D49)</f>
        <v>30604</v>
      </c>
      <c r="E45" s="25">
        <f>SUM(E46:E49)</f>
        <v>141488</v>
      </c>
      <c r="F45" s="270">
        <f>SUM(F46:F49)</f>
        <v>-110884</v>
      </c>
      <c r="G45" s="13" t="s">
        <v>14</v>
      </c>
      <c r="H45" s="55"/>
    </row>
    <row r="46" spans="1:8" ht="18.75" customHeight="1">
      <c r="A46" s="220" t="s">
        <v>14</v>
      </c>
      <c r="B46" s="221" t="s">
        <v>14</v>
      </c>
      <c r="C46" s="14" t="s">
        <v>36</v>
      </c>
      <c r="D46" s="19">
        <f>SUM(H46)/1000</f>
        <v>11614</v>
      </c>
      <c r="E46" s="19">
        <v>14168</v>
      </c>
      <c r="F46" s="266">
        <f>D46-E46</f>
        <v>-2554</v>
      </c>
      <c r="G46" s="106" t="s">
        <v>196</v>
      </c>
      <c r="H46" s="211">
        <v>11614000</v>
      </c>
    </row>
    <row r="47" spans="1:8" ht="18.75" customHeight="1">
      <c r="A47" s="327" t="s">
        <v>14</v>
      </c>
      <c r="B47" s="328" t="s">
        <v>14</v>
      </c>
      <c r="C47" s="4" t="s">
        <v>37</v>
      </c>
      <c r="D47" s="19">
        <f>SUM(H47)/1000</f>
        <v>0</v>
      </c>
      <c r="E47" s="26">
        <v>0</v>
      </c>
      <c r="F47" s="269">
        <f>D47-E47</f>
        <v>0</v>
      </c>
      <c r="G47" s="257"/>
      <c r="H47" s="258"/>
    </row>
    <row r="48" spans="1:8" ht="18.75" customHeight="1">
      <c r="A48" s="327"/>
      <c r="B48" s="328"/>
      <c r="C48" s="4" t="s">
        <v>38</v>
      </c>
      <c r="D48" s="26">
        <v>0</v>
      </c>
      <c r="E48" s="26">
        <v>0</v>
      </c>
      <c r="F48" s="269">
        <f>D48-E48</f>
        <v>0</v>
      </c>
      <c r="G48" s="4"/>
      <c r="H48" s="56"/>
    </row>
    <row r="49" spans="1:8" ht="18.75" customHeight="1">
      <c r="A49" s="327"/>
      <c r="B49" s="328"/>
      <c r="C49" s="22" t="s">
        <v>39</v>
      </c>
      <c r="D49" s="19">
        <f>SUM(H49)/1000</f>
        <v>18990</v>
      </c>
      <c r="E49" s="21">
        <v>127320</v>
      </c>
      <c r="F49" s="271">
        <f>D49-E49</f>
        <v>-108330</v>
      </c>
      <c r="G49" s="111" t="s">
        <v>199</v>
      </c>
      <c r="H49" s="212">
        <v>18990000</v>
      </c>
    </row>
    <row r="50" spans="1:8" ht="18.75" customHeight="1">
      <c r="A50" s="321" t="s">
        <v>40</v>
      </c>
      <c r="B50" s="322"/>
      <c r="C50" s="322"/>
      <c r="D50" s="27">
        <f>D51</f>
        <v>418568</v>
      </c>
      <c r="E50" s="27">
        <f>E51</f>
        <v>355749</v>
      </c>
      <c r="F50" s="277">
        <f>F51</f>
        <v>62819</v>
      </c>
      <c r="G50" s="44" t="s">
        <v>14</v>
      </c>
      <c r="H50" s="62"/>
    </row>
    <row r="51" spans="1:8" ht="18.75" customHeight="1">
      <c r="A51" s="220" t="s">
        <v>14</v>
      </c>
      <c r="B51" s="323" t="s">
        <v>41</v>
      </c>
      <c r="C51" s="324"/>
      <c r="D51" s="25">
        <f>SUM(D52:D55)</f>
        <v>418568</v>
      </c>
      <c r="E51" s="25">
        <f>SUM(E52:E55)</f>
        <v>355749</v>
      </c>
      <c r="F51" s="270">
        <f>SUM(F52:F55)</f>
        <v>62819</v>
      </c>
      <c r="G51" s="13" t="s">
        <v>14</v>
      </c>
      <c r="H51" s="55"/>
    </row>
    <row r="52" spans="1:8" ht="18.75" customHeight="1">
      <c r="A52" s="222" t="s">
        <v>14</v>
      </c>
      <c r="B52" s="221" t="s">
        <v>14</v>
      </c>
      <c r="C52" s="9" t="s">
        <v>41</v>
      </c>
      <c r="D52" s="19">
        <f>SUM(H52:H55)/1000</f>
        <v>418568</v>
      </c>
      <c r="E52" s="19">
        <v>355749</v>
      </c>
      <c r="F52" s="266">
        <f>D52-E52</f>
        <v>62819</v>
      </c>
      <c r="G52" s="15" t="s">
        <v>191</v>
      </c>
      <c r="H52" s="53">
        <v>42412000</v>
      </c>
    </row>
    <row r="53" spans="1:8" ht="18.75" customHeight="1">
      <c r="A53" s="222"/>
      <c r="B53" s="221"/>
      <c r="C53" s="10"/>
      <c r="D53" s="21"/>
      <c r="E53" s="21"/>
      <c r="F53" s="271">
        <f>D53-E53</f>
        <v>0</v>
      </c>
      <c r="G53" s="17" t="s">
        <v>192</v>
      </c>
      <c r="H53" s="57">
        <v>9964000</v>
      </c>
    </row>
    <row r="54" spans="1:8" ht="18.75" customHeight="1">
      <c r="A54" s="222"/>
      <c r="B54" s="221"/>
      <c r="C54" s="10"/>
      <c r="D54" s="21"/>
      <c r="E54" s="21"/>
      <c r="F54" s="271">
        <f>D54-E54</f>
        <v>0</v>
      </c>
      <c r="G54" s="17" t="s">
        <v>193</v>
      </c>
      <c r="H54" s="57">
        <v>20834000</v>
      </c>
    </row>
    <row r="55" spans="1:8" ht="18.75" customHeight="1">
      <c r="A55" s="6"/>
      <c r="B55" s="308"/>
      <c r="C55" s="309"/>
      <c r="D55" s="28"/>
      <c r="E55" s="28"/>
      <c r="F55" s="273">
        <f>D55-E55</f>
        <v>0</v>
      </c>
      <c r="G55" s="7" t="s">
        <v>342</v>
      </c>
      <c r="H55" s="250">
        <v>345358000</v>
      </c>
    </row>
    <row r="56" spans="1:8" ht="18.75" customHeight="1">
      <c r="A56" s="325" t="s">
        <v>42</v>
      </c>
      <c r="B56" s="326"/>
      <c r="C56" s="326"/>
      <c r="D56" s="74">
        <f>D57</f>
        <v>0</v>
      </c>
      <c r="E56" s="74">
        <f>E57</f>
        <v>0</v>
      </c>
      <c r="F56" s="278">
        <f>F57</f>
        <v>0</v>
      </c>
      <c r="G56" s="75" t="s">
        <v>14</v>
      </c>
      <c r="H56" s="76"/>
    </row>
    <row r="57" spans="1:8" ht="18.75" customHeight="1">
      <c r="A57" s="220" t="s">
        <v>14</v>
      </c>
      <c r="B57" s="323" t="s">
        <v>43</v>
      </c>
      <c r="C57" s="324"/>
      <c r="D57" s="25">
        <f>D58+D59</f>
        <v>0</v>
      </c>
      <c r="E57" s="25">
        <f>E58+E59</f>
        <v>0</v>
      </c>
      <c r="F57" s="270">
        <f>F58+F59</f>
        <v>0</v>
      </c>
      <c r="G57" s="13" t="s">
        <v>14</v>
      </c>
      <c r="H57" s="55"/>
    </row>
    <row r="58" spans="1:8" ht="18.75" customHeight="1">
      <c r="A58" s="220" t="s">
        <v>14</v>
      </c>
      <c r="B58" s="221" t="s">
        <v>14</v>
      </c>
      <c r="C58" s="4" t="s">
        <v>44</v>
      </c>
      <c r="D58" s="26"/>
      <c r="E58" s="26"/>
      <c r="F58" s="269">
        <f>D58-E58</f>
        <v>0</v>
      </c>
      <c r="G58" s="4" t="s">
        <v>14</v>
      </c>
      <c r="H58" s="56"/>
    </row>
    <row r="59" spans="1:8" ht="18.75" customHeight="1">
      <c r="A59" s="220" t="s">
        <v>14</v>
      </c>
      <c r="B59" s="221" t="s">
        <v>14</v>
      </c>
      <c r="C59" s="15" t="s">
        <v>45</v>
      </c>
      <c r="D59" s="19"/>
      <c r="E59" s="19"/>
      <c r="F59" s="266">
        <f>D59-E59</f>
        <v>0</v>
      </c>
      <c r="G59" s="15" t="s">
        <v>14</v>
      </c>
      <c r="H59" s="53"/>
    </row>
    <row r="60" spans="1:8" ht="18.75" customHeight="1">
      <c r="A60" s="325" t="s">
        <v>46</v>
      </c>
      <c r="B60" s="326"/>
      <c r="C60" s="326"/>
      <c r="D60" s="74">
        <f t="shared" ref="D60:F61" si="0">D61</f>
        <v>0</v>
      </c>
      <c r="E60" s="74">
        <f t="shared" si="0"/>
        <v>0</v>
      </c>
      <c r="F60" s="278">
        <f t="shared" si="0"/>
        <v>0</v>
      </c>
      <c r="G60" s="75" t="s">
        <v>14</v>
      </c>
      <c r="H60" s="76"/>
    </row>
    <row r="61" spans="1:8" ht="18.75" customHeight="1">
      <c r="A61" s="220" t="s">
        <v>14</v>
      </c>
      <c r="B61" s="323" t="s">
        <v>47</v>
      </c>
      <c r="C61" s="324"/>
      <c r="D61" s="25">
        <f t="shared" si="0"/>
        <v>0</v>
      </c>
      <c r="E61" s="25">
        <f t="shared" si="0"/>
        <v>0</v>
      </c>
      <c r="F61" s="270">
        <f t="shared" si="0"/>
        <v>0</v>
      </c>
      <c r="G61" s="13" t="s">
        <v>14</v>
      </c>
      <c r="H61" s="55"/>
    </row>
    <row r="62" spans="1:8" ht="18.75" customHeight="1">
      <c r="A62" s="63" t="s">
        <v>14</v>
      </c>
      <c r="B62" s="3" t="s">
        <v>14</v>
      </c>
      <c r="C62" s="4" t="s">
        <v>47</v>
      </c>
      <c r="D62" s="26"/>
      <c r="E62" s="26"/>
      <c r="F62" s="269">
        <f>D62-E62</f>
        <v>0</v>
      </c>
      <c r="G62" s="4"/>
      <c r="H62" s="56"/>
    </row>
    <row r="63" spans="1:8" ht="18.75" customHeight="1">
      <c r="A63" s="321" t="s">
        <v>48</v>
      </c>
      <c r="B63" s="322"/>
      <c r="C63" s="322"/>
      <c r="D63" s="27">
        <f>D64</f>
        <v>3242</v>
      </c>
      <c r="E63" s="27">
        <f>E64</f>
        <v>2280</v>
      </c>
      <c r="F63" s="277">
        <f>F64</f>
        <v>962</v>
      </c>
      <c r="G63" s="44" t="s">
        <v>14</v>
      </c>
      <c r="H63" s="62"/>
    </row>
    <row r="64" spans="1:8" ht="18.75" customHeight="1">
      <c r="A64" s="220" t="s">
        <v>14</v>
      </c>
      <c r="B64" s="323" t="s">
        <v>49</v>
      </c>
      <c r="C64" s="324"/>
      <c r="D64" s="25">
        <f>SUM(D65:D71)</f>
        <v>3242</v>
      </c>
      <c r="E64" s="25">
        <f>SUM(E65:E71)</f>
        <v>2280</v>
      </c>
      <c r="F64" s="270">
        <f>SUM(F65:F71)</f>
        <v>962</v>
      </c>
      <c r="G64" s="13" t="s">
        <v>14</v>
      </c>
      <c r="H64" s="55"/>
    </row>
    <row r="65" spans="1:8" ht="18.75" customHeight="1">
      <c r="A65" s="220" t="s">
        <v>14</v>
      </c>
      <c r="B65" s="221" t="s">
        <v>14</v>
      </c>
      <c r="C65" s="15" t="s">
        <v>50</v>
      </c>
      <c r="D65" s="19">
        <f>SUM(H65:H69)/1000</f>
        <v>2830</v>
      </c>
      <c r="E65" s="19">
        <v>1980</v>
      </c>
      <c r="F65" s="266">
        <f>D65-E65</f>
        <v>850</v>
      </c>
      <c r="G65" s="15" t="s">
        <v>171</v>
      </c>
      <c r="H65" s="53">
        <f>91000*12</f>
        <v>1092000</v>
      </c>
    </row>
    <row r="66" spans="1:8" ht="18.75" customHeight="1">
      <c r="A66" s="220"/>
      <c r="B66" s="221"/>
      <c r="C66" s="17"/>
      <c r="D66" s="21"/>
      <c r="E66" s="21"/>
      <c r="F66" s="271"/>
      <c r="G66" s="17" t="s">
        <v>172</v>
      </c>
      <c r="H66" s="57">
        <v>5000</v>
      </c>
    </row>
    <row r="67" spans="1:8" ht="18.75" customHeight="1">
      <c r="A67" s="220"/>
      <c r="B67" s="221"/>
      <c r="C67" s="17"/>
      <c r="D67" s="21"/>
      <c r="E67" s="21"/>
      <c r="F67" s="271"/>
      <c r="G67" s="17" t="s">
        <v>173</v>
      </c>
      <c r="H67" s="57">
        <f>6500*2</f>
        <v>13000</v>
      </c>
    </row>
    <row r="68" spans="1:8" ht="18.75" customHeight="1">
      <c r="A68" s="220"/>
      <c r="B68" s="221"/>
      <c r="C68" s="17"/>
      <c r="D68" s="21"/>
      <c r="E68" s="21"/>
      <c r="F68" s="271"/>
      <c r="G68" s="17" t="s">
        <v>174</v>
      </c>
      <c r="H68" s="57">
        <v>1000000</v>
      </c>
    </row>
    <row r="69" spans="1:8" ht="18.75" customHeight="1">
      <c r="A69" s="220"/>
      <c r="B69" s="221"/>
      <c r="C69" s="7"/>
      <c r="D69" s="28"/>
      <c r="E69" s="28"/>
      <c r="F69" s="273">
        <f>D69-E69</f>
        <v>0</v>
      </c>
      <c r="G69" s="45" t="s">
        <v>175</v>
      </c>
      <c r="H69" s="64">
        <v>720000</v>
      </c>
    </row>
    <row r="70" spans="1:8" ht="18.75" customHeight="1">
      <c r="A70" s="220"/>
      <c r="B70" s="221"/>
      <c r="C70" s="17" t="s">
        <v>51</v>
      </c>
      <c r="D70" s="21">
        <f>H70/1000</f>
        <v>412</v>
      </c>
      <c r="E70" s="21">
        <v>300</v>
      </c>
      <c r="F70" s="271">
        <f>D70-E70</f>
        <v>112</v>
      </c>
      <c r="G70" s="17" t="s">
        <v>343</v>
      </c>
      <c r="H70" s="57">
        <v>412000</v>
      </c>
    </row>
    <row r="71" spans="1:8" ht="18.75" customHeight="1">
      <c r="A71" s="63" t="s">
        <v>14</v>
      </c>
      <c r="B71" s="16" t="s">
        <v>14</v>
      </c>
      <c r="C71" s="23" t="s">
        <v>52</v>
      </c>
      <c r="D71" s="29"/>
      <c r="E71" s="29"/>
      <c r="F71" s="279">
        <f>D71-E71</f>
        <v>0</v>
      </c>
      <c r="G71" s="40"/>
      <c r="H71" s="48"/>
    </row>
    <row r="72" spans="1:8" ht="18.75" customHeight="1">
      <c r="A72" s="321" t="s">
        <v>53</v>
      </c>
      <c r="B72" s="322"/>
      <c r="C72" s="337"/>
      <c r="D72" s="24">
        <f t="shared" ref="D72:F73" si="1">D73</f>
        <v>0</v>
      </c>
      <c r="E72" s="24">
        <f t="shared" si="1"/>
        <v>0</v>
      </c>
      <c r="F72" s="274">
        <f t="shared" si="1"/>
        <v>0</v>
      </c>
      <c r="G72" s="41" t="s">
        <v>14</v>
      </c>
      <c r="H72" s="58"/>
    </row>
    <row r="73" spans="1:8" ht="18.75" customHeight="1">
      <c r="A73" s="220" t="s">
        <v>14</v>
      </c>
      <c r="B73" s="323" t="s">
        <v>54</v>
      </c>
      <c r="C73" s="324"/>
      <c r="D73" s="25">
        <f t="shared" si="1"/>
        <v>0</v>
      </c>
      <c r="E73" s="25">
        <f t="shared" si="1"/>
        <v>0</v>
      </c>
      <c r="F73" s="270">
        <f t="shared" si="1"/>
        <v>0</v>
      </c>
      <c r="G73" s="13" t="s">
        <v>14</v>
      </c>
      <c r="H73" s="55"/>
    </row>
    <row r="74" spans="1:8" ht="18.75" customHeight="1">
      <c r="A74" s="220" t="s">
        <v>14</v>
      </c>
      <c r="B74" s="3" t="s">
        <v>14</v>
      </c>
      <c r="C74" s="4" t="s">
        <v>54</v>
      </c>
      <c r="D74" s="26"/>
      <c r="E74" s="26"/>
      <c r="F74" s="269">
        <f>D74-E74</f>
        <v>0</v>
      </c>
      <c r="G74" s="4" t="s">
        <v>14</v>
      </c>
      <c r="H74" s="56"/>
    </row>
    <row r="75" spans="1:8" ht="18.75" customHeight="1">
      <c r="A75" s="321" t="s">
        <v>55</v>
      </c>
      <c r="B75" s="322"/>
      <c r="C75" s="322"/>
      <c r="D75" s="27">
        <f t="shared" ref="D75:F76" si="2">D76</f>
        <v>0</v>
      </c>
      <c r="E75" s="27">
        <f t="shared" si="2"/>
        <v>0</v>
      </c>
      <c r="F75" s="277">
        <f t="shared" si="2"/>
        <v>0</v>
      </c>
      <c r="G75" s="44" t="s">
        <v>14</v>
      </c>
      <c r="H75" s="62"/>
    </row>
    <row r="76" spans="1:8" ht="18.75" customHeight="1">
      <c r="A76" s="220" t="s">
        <v>14</v>
      </c>
      <c r="B76" s="323" t="s">
        <v>56</v>
      </c>
      <c r="C76" s="324"/>
      <c r="D76" s="25">
        <f t="shared" si="2"/>
        <v>0</v>
      </c>
      <c r="E76" s="25">
        <f t="shared" si="2"/>
        <v>0</v>
      </c>
      <c r="F76" s="270">
        <f t="shared" si="2"/>
        <v>0</v>
      </c>
      <c r="G76" s="13" t="s">
        <v>14</v>
      </c>
      <c r="H76" s="55"/>
    </row>
    <row r="77" spans="1:8" ht="18.75" customHeight="1">
      <c r="A77" s="63" t="s">
        <v>14</v>
      </c>
      <c r="B77" s="3" t="s">
        <v>14</v>
      </c>
      <c r="C77" s="4" t="s">
        <v>56</v>
      </c>
      <c r="D77" s="26"/>
      <c r="E77" s="26"/>
      <c r="F77" s="269">
        <f>D77-E77</f>
        <v>0</v>
      </c>
      <c r="G77" s="4"/>
      <c r="H77" s="56"/>
    </row>
    <row r="78" spans="1:8" ht="18.75" customHeight="1">
      <c r="A78" s="321" t="s">
        <v>57</v>
      </c>
      <c r="B78" s="322"/>
      <c r="C78" s="322"/>
      <c r="D78" s="27">
        <f>D79</f>
        <v>54</v>
      </c>
      <c r="E78" s="27">
        <f>E79</f>
        <v>500</v>
      </c>
      <c r="F78" s="277">
        <f>F79</f>
        <v>-446</v>
      </c>
      <c r="G78" s="44" t="s">
        <v>14</v>
      </c>
      <c r="H78" s="62"/>
    </row>
    <row r="79" spans="1:8" ht="18.75" customHeight="1">
      <c r="A79" s="220" t="s">
        <v>14</v>
      </c>
      <c r="B79" s="323" t="s">
        <v>58</v>
      </c>
      <c r="C79" s="324"/>
      <c r="D79" s="25">
        <f>SUM(D80:D82)</f>
        <v>54</v>
      </c>
      <c r="E79" s="25">
        <f>SUM(E80:E82)</f>
        <v>500</v>
      </c>
      <c r="F79" s="270">
        <f>SUM(F80:F82)</f>
        <v>-446</v>
      </c>
      <c r="G79" s="13" t="s">
        <v>14</v>
      </c>
      <c r="H79" s="55"/>
    </row>
    <row r="80" spans="1:8" ht="18.75" customHeight="1">
      <c r="A80" s="220" t="s">
        <v>14</v>
      </c>
      <c r="B80" s="221" t="s">
        <v>14</v>
      </c>
      <c r="C80" s="4" t="s">
        <v>59</v>
      </c>
      <c r="D80" s="26"/>
      <c r="E80" s="26"/>
      <c r="F80" s="269">
        <f>D80-E80</f>
        <v>0</v>
      </c>
      <c r="G80" s="4" t="s">
        <v>14</v>
      </c>
      <c r="H80" s="56"/>
    </row>
    <row r="81" spans="1:8" ht="18.75" customHeight="1">
      <c r="A81" s="220" t="s">
        <v>14</v>
      </c>
      <c r="B81" s="221" t="s">
        <v>14</v>
      </c>
      <c r="C81" s="4" t="s">
        <v>60</v>
      </c>
      <c r="D81" s="26"/>
      <c r="E81" s="26"/>
      <c r="F81" s="269">
        <f>D81-E81</f>
        <v>0</v>
      </c>
      <c r="G81" s="4" t="s">
        <v>14</v>
      </c>
      <c r="H81" s="56"/>
    </row>
    <row r="82" spans="1:8" ht="18.75" customHeight="1" thickBot="1">
      <c r="A82" s="65" t="s">
        <v>14</v>
      </c>
      <c r="B82" s="5" t="s">
        <v>14</v>
      </c>
      <c r="C82" s="8" t="s">
        <v>61</v>
      </c>
      <c r="D82" s="30">
        <f>H82/1000</f>
        <v>54</v>
      </c>
      <c r="E82" s="30">
        <v>500</v>
      </c>
      <c r="F82" s="280">
        <f>D82-E82</f>
        <v>-446</v>
      </c>
      <c r="G82" s="8" t="s">
        <v>176</v>
      </c>
      <c r="H82" s="66">
        <v>54000</v>
      </c>
    </row>
    <row r="83" spans="1:8" ht="18.75" customHeight="1" thickTop="1">
      <c r="A83" s="335" t="s">
        <v>62</v>
      </c>
      <c r="B83" s="336"/>
      <c r="C83" s="336"/>
      <c r="D83" s="31">
        <f>D78+D75+D72+D63+D60+D56+D50+D31+D6</f>
        <v>1604615</v>
      </c>
      <c r="E83" s="31">
        <f>E78+E75+E72+E63+E60+E56+E50+E31+E6</f>
        <v>1456428</v>
      </c>
      <c r="F83" s="281">
        <f>F78+F75+F72+F63+F60+F56+F50+F31+F6</f>
        <v>148187</v>
      </c>
      <c r="G83" s="67" t="s">
        <v>14</v>
      </c>
      <c r="H83" s="68"/>
    </row>
    <row r="84" spans="1:8" ht="18.75" customHeight="1">
      <c r="H84" s="213"/>
    </row>
    <row r="85" spans="1:8" ht="18.75" customHeight="1">
      <c r="F85" s="210"/>
      <c r="H85" s="213"/>
    </row>
  </sheetData>
  <mergeCells count="34">
    <mergeCell ref="B38:C38"/>
    <mergeCell ref="B7:C7"/>
    <mergeCell ref="A12:A13"/>
    <mergeCell ref="B12:C12"/>
    <mergeCell ref="A9:A10"/>
    <mergeCell ref="B9:C9"/>
    <mergeCell ref="B32:C32"/>
    <mergeCell ref="B16:C16"/>
    <mergeCell ref="B20:C20"/>
    <mergeCell ref="A31:C31"/>
    <mergeCell ref="B79:C79"/>
    <mergeCell ref="A83:C83"/>
    <mergeCell ref="A60:C60"/>
    <mergeCell ref="B61:C61"/>
    <mergeCell ref="A63:C63"/>
    <mergeCell ref="B64:C64"/>
    <mergeCell ref="A72:C72"/>
    <mergeCell ref="B73:C73"/>
    <mergeCell ref="G4:H5"/>
    <mergeCell ref="A1:H1"/>
    <mergeCell ref="A75:C75"/>
    <mergeCell ref="B76:C76"/>
    <mergeCell ref="A78:C78"/>
    <mergeCell ref="B45:C45"/>
    <mergeCell ref="A50:C50"/>
    <mergeCell ref="B51:C51"/>
    <mergeCell ref="A56:C56"/>
    <mergeCell ref="B57:C57"/>
    <mergeCell ref="B42:C42"/>
    <mergeCell ref="A47:A49"/>
    <mergeCell ref="B47:B49"/>
    <mergeCell ref="A4:C4"/>
    <mergeCell ref="A6:C6"/>
    <mergeCell ref="A7:A8"/>
  </mergeCells>
  <phoneticPr fontId="7" type="noConversion"/>
  <printOptions horizontalCentered="1"/>
  <pageMargins left="0.39370078740157483" right="0.39370078740157483" top="0.98425196850393704" bottom="0.59055118110236227" header="0.31496062992125984" footer="0.23622047244094491"/>
  <pageSetup paperSize="9" scale="67" fitToHeight="0" orientation="portrait" r:id="rId1"/>
  <headerFooter alignWithMargins="0">
    <oddFooter>&amp;C&amp;8-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showGridLines="0" view="pageBreakPreview" zoomScaleNormal="100" zoomScaleSheetLayoutView="100" workbookViewId="0">
      <selection sqref="A1:H1"/>
    </sheetView>
  </sheetViews>
  <sheetFormatPr defaultColWidth="10.28515625" defaultRowHeight="18.75" customHeight="1"/>
  <cols>
    <col min="1" max="2" width="4.5703125" style="88" customWidth="1"/>
    <col min="3" max="3" width="26.5703125" style="88" customWidth="1"/>
    <col min="4" max="5" width="12.85546875" style="89" customWidth="1"/>
    <col min="6" max="6" width="12.85546875" style="90" customWidth="1"/>
    <col min="7" max="7" width="48" style="122" customWidth="1"/>
    <col min="8" max="8" width="13.85546875" style="87" bestFit="1" customWidth="1"/>
    <col min="9" max="16384" width="10.28515625" style="84"/>
  </cols>
  <sheetData>
    <row r="1" spans="1:8" ht="41.25" customHeight="1">
      <c r="A1" s="320" t="s">
        <v>167</v>
      </c>
      <c r="B1" s="320"/>
      <c r="C1" s="320"/>
      <c r="D1" s="320"/>
      <c r="E1" s="320"/>
      <c r="F1" s="320"/>
      <c r="G1" s="320"/>
      <c r="H1" s="320"/>
    </row>
    <row r="2" spans="1:8" ht="15" customHeight="1">
      <c r="A2" s="85"/>
      <c r="B2" s="85"/>
      <c r="C2" s="85"/>
      <c r="D2" s="85"/>
      <c r="E2" s="85"/>
      <c r="F2" s="86"/>
      <c r="G2" s="85"/>
    </row>
    <row r="3" spans="1:8" ht="18.75" customHeight="1">
      <c r="G3" s="91"/>
      <c r="H3" s="91" t="s">
        <v>121</v>
      </c>
    </row>
    <row r="4" spans="1:8" ht="18.75" customHeight="1">
      <c r="A4" s="370" t="s">
        <v>63</v>
      </c>
      <c r="B4" s="371"/>
      <c r="C4" s="372"/>
      <c r="D4" s="69" t="s">
        <v>169</v>
      </c>
      <c r="E4" s="70" t="s">
        <v>170</v>
      </c>
      <c r="F4" s="73" t="s">
        <v>8</v>
      </c>
      <c r="G4" s="342" t="s">
        <v>64</v>
      </c>
      <c r="H4" s="343"/>
    </row>
    <row r="5" spans="1:8" ht="18.75" customHeight="1" thickBot="1">
      <c r="A5" s="92" t="s">
        <v>0</v>
      </c>
      <c r="B5" s="93" t="s">
        <v>1</v>
      </c>
      <c r="C5" s="93" t="s">
        <v>2</v>
      </c>
      <c r="D5" s="71" t="s">
        <v>10</v>
      </c>
      <c r="E5" s="72" t="s">
        <v>11</v>
      </c>
      <c r="F5" s="261" t="s">
        <v>12</v>
      </c>
      <c r="G5" s="344"/>
      <c r="H5" s="345"/>
    </row>
    <row r="6" spans="1:8" ht="18.75" customHeight="1" thickTop="1">
      <c r="A6" s="361" t="s">
        <v>65</v>
      </c>
      <c r="B6" s="362"/>
      <c r="C6" s="373"/>
      <c r="D6" s="94">
        <f>D7+D29+D49</f>
        <v>885386.4</v>
      </c>
      <c r="E6" s="94">
        <f>E7+E29+E49</f>
        <v>818975</v>
      </c>
      <c r="F6" s="95">
        <f>F7+F29+F49</f>
        <v>66411.399999999994</v>
      </c>
      <c r="G6" s="96" t="s">
        <v>14</v>
      </c>
      <c r="H6" s="97"/>
    </row>
    <row r="7" spans="1:8" ht="18.75" customHeight="1">
      <c r="A7" s="224" t="s">
        <v>14</v>
      </c>
      <c r="B7" s="350" t="s">
        <v>66</v>
      </c>
      <c r="C7" s="351"/>
      <c r="D7" s="99">
        <f>SUM(D8:D28)</f>
        <v>319919.40000000002</v>
      </c>
      <c r="E7" s="99">
        <f>SUM(E8:E28)</f>
        <v>330038</v>
      </c>
      <c r="F7" s="100">
        <f>SUM(F8:F28)</f>
        <v>-10118.599999999999</v>
      </c>
      <c r="G7" s="101" t="s">
        <v>14</v>
      </c>
      <c r="H7" s="102"/>
    </row>
    <row r="8" spans="1:8" ht="18.75" customHeight="1">
      <c r="A8" s="224"/>
      <c r="B8" s="367" t="s">
        <v>14</v>
      </c>
      <c r="C8" s="103" t="s">
        <v>67</v>
      </c>
      <c r="D8" s="104">
        <f>SUM(H8:H10)/1000</f>
        <v>215940</v>
      </c>
      <c r="E8" s="104">
        <v>219626</v>
      </c>
      <c r="F8" s="105">
        <f>D8-E8</f>
        <v>-3686</v>
      </c>
      <c r="G8" s="106" t="s">
        <v>201</v>
      </c>
      <c r="H8" s="107">
        <v>198978000</v>
      </c>
    </row>
    <row r="9" spans="1:8" ht="18.75" customHeight="1">
      <c r="A9" s="224"/>
      <c r="B9" s="367"/>
      <c r="C9" s="108"/>
      <c r="D9" s="109"/>
      <c r="E9" s="109"/>
      <c r="F9" s="110"/>
      <c r="G9" s="111" t="s">
        <v>202</v>
      </c>
      <c r="H9" s="112">
        <v>13722000</v>
      </c>
    </row>
    <row r="10" spans="1:8" ht="18.75" customHeight="1">
      <c r="A10" s="224"/>
      <c r="B10" s="367"/>
      <c r="C10" s="113"/>
      <c r="D10" s="114"/>
      <c r="E10" s="114"/>
      <c r="F10" s="115"/>
      <c r="G10" s="116" t="s">
        <v>203</v>
      </c>
      <c r="H10" s="117">
        <v>3240000</v>
      </c>
    </row>
    <row r="11" spans="1:8" ht="18.75" customHeight="1">
      <c r="A11" s="224"/>
      <c r="B11" s="367"/>
      <c r="C11" s="108" t="s">
        <v>68</v>
      </c>
      <c r="D11" s="118">
        <f>SUM(H11:H18)/1000</f>
        <v>21399</v>
      </c>
      <c r="E11" s="118">
        <v>39108</v>
      </c>
      <c r="F11" s="119">
        <f>D11-E11</f>
        <v>-17709</v>
      </c>
      <c r="G11" s="111" t="s">
        <v>204</v>
      </c>
      <c r="H11" s="112">
        <v>2880000</v>
      </c>
    </row>
    <row r="12" spans="1:8" ht="18.75" customHeight="1">
      <c r="A12" s="224"/>
      <c r="B12" s="367"/>
      <c r="C12" s="108"/>
      <c r="D12" s="118"/>
      <c r="E12" s="118"/>
      <c r="F12" s="119"/>
      <c r="G12" s="111" t="s">
        <v>200</v>
      </c>
      <c r="H12" s="112">
        <v>1408000</v>
      </c>
    </row>
    <row r="13" spans="1:8" ht="18.75" customHeight="1">
      <c r="A13" s="224"/>
      <c r="B13" s="367"/>
      <c r="C13" s="108"/>
      <c r="D13" s="118"/>
      <c r="E13" s="118"/>
      <c r="F13" s="119"/>
      <c r="G13" s="111" t="s">
        <v>211</v>
      </c>
      <c r="H13" s="112">
        <v>1663000</v>
      </c>
    </row>
    <row r="14" spans="1:8" ht="18.75" customHeight="1">
      <c r="A14" s="224"/>
      <c r="B14" s="367"/>
      <c r="C14" s="108"/>
      <c r="D14" s="118"/>
      <c r="E14" s="118"/>
      <c r="F14" s="119"/>
      <c r="G14" s="120" t="s">
        <v>205</v>
      </c>
      <c r="H14" s="121">
        <v>4558000</v>
      </c>
    </row>
    <row r="15" spans="1:8" ht="18.75" customHeight="1">
      <c r="A15" s="224"/>
      <c r="B15" s="367"/>
      <c r="C15" s="108"/>
      <c r="D15" s="118"/>
      <c r="E15" s="118"/>
      <c r="F15" s="119"/>
      <c r="G15" s="122" t="s">
        <v>122</v>
      </c>
      <c r="H15" s="112">
        <f>70000*1*12</f>
        <v>840000</v>
      </c>
    </row>
    <row r="16" spans="1:8" ht="18.75" customHeight="1">
      <c r="A16" s="224"/>
      <c r="B16" s="367"/>
      <c r="C16" s="108"/>
      <c r="D16" s="118"/>
      <c r="E16" s="118"/>
      <c r="F16" s="119"/>
      <c r="G16" s="122" t="s">
        <v>206</v>
      </c>
      <c r="H16" s="112">
        <v>5359000</v>
      </c>
    </row>
    <row r="17" spans="1:8" ht="18.75" customHeight="1">
      <c r="A17" s="224"/>
      <c r="B17" s="367"/>
      <c r="C17" s="108"/>
      <c r="D17" s="118"/>
      <c r="E17" s="118"/>
      <c r="F17" s="119"/>
      <c r="G17" s="122" t="s">
        <v>207</v>
      </c>
      <c r="H17" s="112">
        <v>971000</v>
      </c>
    </row>
    <row r="18" spans="1:8" ht="18.75" customHeight="1">
      <c r="A18" s="224"/>
      <c r="B18" s="367"/>
      <c r="C18" s="108"/>
      <c r="D18" s="118"/>
      <c r="E18" s="118"/>
      <c r="F18" s="119"/>
      <c r="G18" s="111" t="s">
        <v>208</v>
      </c>
      <c r="H18" s="112">
        <v>3720000</v>
      </c>
    </row>
    <row r="19" spans="1:8" ht="18.75" customHeight="1">
      <c r="A19" s="224"/>
      <c r="B19" s="367"/>
      <c r="C19" s="103" t="s">
        <v>69</v>
      </c>
      <c r="D19" s="104">
        <f>SUM(H19:H24)/1000</f>
        <v>60846.400000000001</v>
      </c>
      <c r="E19" s="104">
        <v>49016</v>
      </c>
      <c r="F19" s="105">
        <f>D19-E19</f>
        <v>11830.400000000001</v>
      </c>
      <c r="G19" s="106" t="s">
        <v>123</v>
      </c>
      <c r="H19" s="107">
        <v>2400000</v>
      </c>
    </row>
    <row r="20" spans="1:8" ht="18.75" customHeight="1">
      <c r="A20" s="224"/>
      <c r="B20" s="367"/>
      <c r="C20" s="108"/>
      <c r="D20" s="118"/>
      <c r="E20" s="118"/>
      <c r="F20" s="119"/>
      <c r="G20" s="111" t="s">
        <v>209</v>
      </c>
      <c r="H20" s="112">
        <v>20797000</v>
      </c>
    </row>
    <row r="21" spans="1:8" ht="18.75" customHeight="1">
      <c r="A21" s="224"/>
      <c r="B21" s="367"/>
      <c r="C21" s="108"/>
      <c r="D21" s="109"/>
      <c r="E21" s="109"/>
      <c r="F21" s="110"/>
      <c r="G21" s="123" t="s">
        <v>210</v>
      </c>
      <c r="H21" s="112">
        <v>16087000</v>
      </c>
    </row>
    <row r="22" spans="1:8" ht="18.75" customHeight="1">
      <c r="A22" s="224"/>
      <c r="B22" s="367"/>
      <c r="C22" s="108"/>
      <c r="D22" s="118"/>
      <c r="E22" s="118"/>
      <c r="F22" s="119"/>
      <c r="G22" s="111" t="s">
        <v>212</v>
      </c>
      <c r="H22" s="112">
        <v>15902400</v>
      </c>
    </row>
    <row r="23" spans="1:8" ht="18.75" customHeight="1">
      <c r="A23" s="224"/>
      <c r="B23" s="367"/>
      <c r="C23" s="108"/>
      <c r="D23" s="118"/>
      <c r="E23" s="118"/>
      <c r="F23" s="119"/>
      <c r="G23" s="111" t="s">
        <v>213</v>
      </c>
      <c r="H23" s="112">
        <v>5000000</v>
      </c>
    </row>
    <row r="24" spans="1:8" ht="18.75" customHeight="1">
      <c r="A24" s="224"/>
      <c r="B24" s="367"/>
      <c r="C24" s="108"/>
      <c r="D24" s="118"/>
      <c r="E24" s="118"/>
      <c r="F24" s="119"/>
      <c r="G24" s="111" t="s">
        <v>124</v>
      </c>
      <c r="H24" s="112">
        <f>55000*12</f>
        <v>660000</v>
      </c>
    </row>
    <row r="25" spans="1:8" ht="18.75" customHeight="1">
      <c r="A25" s="224"/>
      <c r="B25" s="367"/>
      <c r="C25" s="103" t="s">
        <v>70</v>
      </c>
      <c r="D25" s="104">
        <f>SUM(H25:H28)/1000</f>
        <v>21734</v>
      </c>
      <c r="E25" s="104">
        <v>22288</v>
      </c>
      <c r="F25" s="105">
        <f>D25-E25</f>
        <v>-554</v>
      </c>
      <c r="G25" s="106" t="s">
        <v>214</v>
      </c>
      <c r="H25" s="107">
        <v>14195000</v>
      </c>
    </row>
    <row r="26" spans="1:8" ht="18.75" customHeight="1">
      <c r="A26" s="224"/>
      <c r="B26" s="367"/>
      <c r="C26" s="108"/>
      <c r="D26" s="118"/>
      <c r="E26" s="118"/>
      <c r="F26" s="119"/>
      <c r="G26" s="111" t="s">
        <v>215</v>
      </c>
      <c r="H26" s="112">
        <v>5927000</v>
      </c>
    </row>
    <row r="27" spans="1:8" ht="18.75" customHeight="1">
      <c r="A27" s="224"/>
      <c r="B27" s="367"/>
      <c r="C27" s="108"/>
      <c r="D27" s="118"/>
      <c r="E27" s="118"/>
      <c r="F27" s="119"/>
      <c r="G27" s="111" t="s">
        <v>216</v>
      </c>
      <c r="H27" s="112">
        <v>516000</v>
      </c>
    </row>
    <row r="28" spans="1:8" ht="18.75" customHeight="1">
      <c r="A28" s="224"/>
      <c r="B28" s="367"/>
      <c r="C28" s="124"/>
      <c r="D28" s="118"/>
      <c r="E28" s="118"/>
      <c r="F28" s="119"/>
      <c r="G28" s="111" t="s">
        <v>217</v>
      </c>
      <c r="H28" s="112">
        <v>1096000</v>
      </c>
    </row>
    <row r="29" spans="1:8" ht="18.75" customHeight="1">
      <c r="A29" s="224"/>
      <c r="B29" s="350" t="s">
        <v>71</v>
      </c>
      <c r="C29" s="351"/>
      <c r="D29" s="99">
        <f>SUM(D30:D48)</f>
        <v>191128</v>
      </c>
      <c r="E29" s="99">
        <f>SUM(E30:E48)</f>
        <v>87436</v>
      </c>
      <c r="F29" s="100">
        <f>SUM(F30:F48)</f>
        <v>103692</v>
      </c>
      <c r="G29" s="101" t="s">
        <v>14</v>
      </c>
      <c r="H29" s="102"/>
    </row>
    <row r="30" spans="1:8" ht="18.75" customHeight="1">
      <c r="A30" s="224"/>
      <c r="B30" s="125" t="s">
        <v>14</v>
      </c>
      <c r="C30" s="103" t="s">
        <v>67</v>
      </c>
      <c r="D30" s="104">
        <f>SUM(H30:H32)/1000</f>
        <v>118896</v>
      </c>
      <c r="E30" s="104">
        <v>55308</v>
      </c>
      <c r="F30" s="105">
        <f>D30-E30</f>
        <v>63588</v>
      </c>
      <c r="G30" s="106" t="s">
        <v>218</v>
      </c>
      <c r="H30" s="107">
        <v>106891000</v>
      </c>
    </row>
    <row r="31" spans="1:8" ht="18.75" customHeight="1">
      <c r="A31" s="224"/>
      <c r="B31" s="125"/>
      <c r="C31" s="108"/>
      <c r="D31" s="118"/>
      <c r="E31" s="118"/>
      <c r="F31" s="119"/>
      <c r="G31" s="111" t="s">
        <v>219</v>
      </c>
      <c r="H31" s="112">
        <v>9005000</v>
      </c>
    </row>
    <row r="32" spans="1:8" ht="18.75" customHeight="1">
      <c r="A32" s="224"/>
      <c r="B32" s="125"/>
      <c r="C32" s="124"/>
      <c r="D32" s="126"/>
      <c r="E32" s="126"/>
      <c r="F32" s="127"/>
      <c r="G32" s="116" t="s">
        <v>125</v>
      </c>
      <c r="H32" s="117">
        <f>125000*2*12</f>
        <v>3000000</v>
      </c>
    </row>
    <row r="33" spans="1:8" ht="18.75" customHeight="1">
      <c r="A33" s="224"/>
      <c r="B33" s="125"/>
      <c r="C33" s="128" t="s">
        <v>68</v>
      </c>
      <c r="D33" s="104">
        <f>SUM(H33:H37)/1000</f>
        <v>13258</v>
      </c>
      <c r="E33" s="104">
        <v>13781</v>
      </c>
      <c r="F33" s="105">
        <f>D33-E33</f>
        <v>-523</v>
      </c>
      <c r="G33" s="111" t="s">
        <v>221</v>
      </c>
      <c r="H33" s="112">
        <v>3360000</v>
      </c>
    </row>
    <row r="34" spans="1:8" ht="18.75" customHeight="1">
      <c r="A34" s="224"/>
      <c r="B34" s="125"/>
      <c r="C34" s="225"/>
      <c r="D34" s="118"/>
      <c r="E34" s="118"/>
      <c r="F34" s="119"/>
      <c r="G34" s="120" t="s">
        <v>222</v>
      </c>
      <c r="H34" s="121">
        <v>1877000</v>
      </c>
    </row>
    <row r="35" spans="1:8" ht="18.75" customHeight="1">
      <c r="A35" s="224"/>
      <c r="B35" s="125"/>
      <c r="C35" s="225"/>
      <c r="D35" s="118"/>
      <c r="E35" s="118"/>
      <c r="F35" s="119"/>
      <c r="G35" s="120" t="s">
        <v>223</v>
      </c>
      <c r="H35" s="121">
        <v>2189000</v>
      </c>
    </row>
    <row r="36" spans="1:8" ht="18.75" customHeight="1">
      <c r="A36" s="224"/>
      <c r="B36" s="125"/>
      <c r="C36" s="225"/>
      <c r="D36" s="118"/>
      <c r="E36" s="118"/>
      <c r="F36" s="119"/>
      <c r="G36" s="120" t="s">
        <v>224</v>
      </c>
      <c r="H36" s="121">
        <v>5204000</v>
      </c>
    </row>
    <row r="37" spans="1:8" ht="18.75" customHeight="1">
      <c r="A37" s="224"/>
      <c r="B37" s="125"/>
      <c r="C37" s="225"/>
      <c r="D37" s="118"/>
      <c r="E37" s="118"/>
      <c r="F37" s="119"/>
      <c r="G37" s="122" t="s">
        <v>225</v>
      </c>
      <c r="H37" s="112">
        <v>628000</v>
      </c>
    </row>
    <row r="38" spans="1:8" ht="18.75" customHeight="1">
      <c r="A38" s="224"/>
      <c r="B38" s="125"/>
      <c r="C38" s="128" t="s">
        <v>69</v>
      </c>
      <c r="D38" s="104">
        <f>SUM(H38:H44)/1000</f>
        <v>37750</v>
      </c>
      <c r="E38" s="104">
        <v>8583</v>
      </c>
      <c r="F38" s="129">
        <f>D38-E38</f>
        <v>29167</v>
      </c>
      <c r="G38" s="130" t="s">
        <v>126</v>
      </c>
      <c r="H38" s="131">
        <f>750000*12</f>
        <v>9000000</v>
      </c>
    </row>
    <row r="39" spans="1:8" ht="18.75" customHeight="1">
      <c r="A39" s="224"/>
      <c r="B39" s="125"/>
      <c r="C39" s="225"/>
      <c r="D39" s="118"/>
      <c r="E39" s="118"/>
      <c r="F39" s="132"/>
      <c r="G39" s="133" t="s">
        <v>127</v>
      </c>
      <c r="H39" s="112">
        <f>130000*2*12</f>
        <v>3120000</v>
      </c>
    </row>
    <row r="40" spans="1:8" ht="18.75" customHeight="1">
      <c r="A40" s="224"/>
      <c r="B40" s="125"/>
      <c r="C40" s="225"/>
      <c r="D40" s="118"/>
      <c r="E40" s="118"/>
      <c r="F40" s="132"/>
      <c r="G40" s="133" t="s">
        <v>226</v>
      </c>
      <c r="H40" s="112">
        <v>10735000</v>
      </c>
    </row>
    <row r="41" spans="1:8" ht="18.75" customHeight="1">
      <c r="A41" s="224"/>
      <c r="B41" s="125"/>
      <c r="C41" s="225"/>
      <c r="D41" s="118"/>
      <c r="E41" s="118"/>
      <c r="F41" s="132"/>
      <c r="G41" s="133" t="s">
        <v>227</v>
      </c>
      <c r="H41" s="112">
        <v>4639000</v>
      </c>
    </row>
    <row r="42" spans="1:8" ht="18.75" customHeight="1">
      <c r="A42" s="224"/>
      <c r="B42" s="125"/>
      <c r="C42" s="225"/>
      <c r="D42" s="118"/>
      <c r="E42" s="118"/>
      <c r="F42" s="132"/>
      <c r="G42" s="133" t="s">
        <v>228</v>
      </c>
      <c r="H42" s="112">
        <v>5156000</v>
      </c>
    </row>
    <row r="43" spans="1:8" ht="18.75" customHeight="1">
      <c r="A43" s="224"/>
      <c r="B43" s="125"/>
      <c r="C43" s="225"/>
      <c r="D43" s="118"/>
      <c r="E43" s="118"/>
      <c r="F43" s="132"/>
      <c r="G43" s="133" t="s">
        <v>220</v>
      </c>
      <c r="H43" s="112">
        <v>3600000</v>
      </c>
    </row>
    <row r="44" spans="1:8" ht="18.75" customHeight="1">
      <c r="A44" s="224"/>
      <c r="B44" s="125"/>
      <c r="C44" s="108"/>
      <c r="D44" s="118"/>
      <c r="E44" s="118"/>
      <c r="F44" s="132"/>
      <c r="G44" s="134" t="s">
        <v>229</v>
      </c>
      <c r="H44" s="117">
        <v>1500000</v>
      </c>
    </row>
    <row r="45" spans="1:8" ht="18.75" customHeight="1">
      <c r="A45" s="224"/>
      <c r="B45" s="125"/>
      <c r="C45" s="103" t="s">
        <v>70</v>
      </c>
      <c r="D45" s="104">
        <f>SUM(H45:H48)/1000</f>
        <v>21224</v>
      </c>
      <c r="E45" s="104">
        <v>9764</v>
      </c>
      <c r="F45" s="105">
        <f>D45-E45</f>
        <v>11460</v>
      </c>
      <c r="G45" s="111" t="s">
        <v>230</v>
      </c>
      <c r="H45" s="112">
        <v>14618000</v>
      </c>
    </row>
    <row r="46" spans="1:8" ht="18.75" customHeight="1">
      <c r="A46" s="224"/>
      <c r="B46" s="125"/>
      <c r="C46" s="108"/>
      <c r="D46" s="118"/>
      <c r="E46" s="118"/>
      <c r="F46" s="119"/>
      <c r="G46" s="111" t="s">
        <v>231</v>
      </c>
      <c r="H46" s="112">
        <v>5464000</v>
      </c>
    </row>
    <row r="47" spans="1:8" ht="18.75" customHeight="1">
      <c r="A47" s="224"/>
      <c r="B47" s="125"/>
      <c r="C47" s="108"/>
      <c r="D47" s="118"/>
      <c r="E47" s="118"/>
      <c r="F47" s="119"/>
      <c r="G47" s="111" t="s">
        <v>232</v>
      </c>
      <c r="H47" s="112">
        <v>478000</v>
      </c>
    </row>
    <row r="48" spans="1:8" ht="18.75" customHeight="1">
      <c r="A48" s="224"/>
      <c r="B48" s="135"/>
      <c r="C48" s="113"/>
      <c r="D48" s="114"/>
      <c r="E48" s="114"/>
      <c r="F48" s="115"/>
      <c r="G48" s="116" t="s">
        <v>233</v>
      </c>
      <c r="H48" s="117">
        <v>664000</v>
      </c>
    </row>
    <row r="49" spans="1:8" ht="18.75" customHeight="1">
      <c r="A49" s="224"/>
      <c r="B49" s="368" t="s">
        <v>72</v>
      </c>
      <c r="C49" s="369"/>
      <c r="D49" s="136">
        <f>SUM(D50:D80)</f>
        <v>374339</v>
      </c>
      <c r="E49" s="136">
        <f>SUM(E50:E80)</f>
        <v>401501</v>
      </c>
      <c r="F49" s="137">
        <f>SUM(F50:F80)</f>
        <v>-27162</v>
      </c>
      <c r="G49" s="138"/>
      <c r="H49" s="139"/>
    </row>
    <row r="50" spans="1:8" ht="18.75" customHeight="1">
      <c r="A50" s="224"/>
      <c r="B50" s="125" t="s">
        <v>14</v>
      </c>
      <c r="C50" s="103" t="s">
        <v>73</v>
      </c>
      <c r="D50" s="104">
        <f>SUM(H50:H80)/1000</f>
        <v>374339</v>
      </c>
      <c r="E50" s="118">
        <v>401501</v>
      </c>
      <c r="F50" s="119">
        <f>D50-E50</f>
        <v>-27162</v>
      </c>
      <c r="G50" s="106" t="s">
        <v>237</v>
      </c>
      <c r="H50" s="107">
        <v>61702000</v>
      </c>
    </row>
    <row r="51" spans="1:8" ht="18.75" customHeight="1">
      <c r="A51" s="224"/>
      <c r="B51" s="125"/>
      <c r="C51" s="108"/>
      <c r="D51" s="118"/>
      <c r="E51" s="118"/>
      <c r="F51" s="119"/>
      <c r="G51" s="111" t="s">
        <v>235</v>
      </c>
      <c r="H51" s="112">
        <v>4680000</v>
      </c>
    </row>
    <row r="52" spans="1:8" ht="18.75" customHeight="1">
      <c r="A52" s="224"/>
      <c r="B52" s="125"/>
      <c r="C52" s="108"/>
      <c r="D52" s="118"/>
      <c r="E52" s="118"/>
      <c r="F52" s="119"/>
      <c r="G52" s="111" t="s">
        <v>236</v>
      </c>
      <c r="H52" s="112">
        <v>3000000</v>
      </c>
    </row>
    <row r="53" spans="1:8" ht="18.75" customHeight="1">
      <c r="A53" s="224"/>
      <c r="B53" s="125"/>
      <c r="C53" s="108"/>
      <c r="D53" s="118"/>
      <c r="E53" s="118"/>
      <c r="F53" s="119"/>
      <c r="G53" s="111" t="s">
        <v>238</v>
      </c>
      <c r="H53" s="112">
        <v>810000</v>
      </c>
    </row>
    <row r="54" spans="1:8" ht="18.75" customHeight="1">
      <c r="A54" s="224"/>
      <c r="B54" s="125"/>
      <c r="C54" s="108"/>
      <c r="D54" s="118"/>
      <c r="E54" s="118"/>
      <c r="F54" s="119"/>
      <c r="G54" s="111" t="s">
        <v>234</v>
      </c>
      <c r="H54" s="112">
        <v>1260000</v>
      </c>
    </row>
    <row r="55" spans="1:8" ht="18.75" customHeight="1">
      <c r="A55" s="140"/>
      <c r="B55" s="135"/>
      <c r="C55" s="113"/>
      <c r="D55" s="114"/>
      <c r="E55" s="114"/>
      <c r="F55" s="115"/>
      <c r="G55" s="116" t="s">
        <v>239</v>
      </c>
      <c r="H55" s="117">
        <v>1800000</v>
      </c>
    </row>
    <row r="56" spans="1:8" ht="18.75" customHeight="1">
      <c r="A56" s="141"/>
      <c r="B56" s="142"/>
      <c r="C56" s="143"/>
      <c r="D56" s="144"/>
      <c r="E56" s="144"/>
      <c r="F56" s="145"/>
      <c r="G56" s="155" t="s">
        <v>240</v>
      </c>
      <c r="H56" s="131">
        <v>1923000</v>
      </c>
    </row>
    <row r="57" spans="1:8" ht="18.75" customHeight="1">
      <c r="A57" s="224"/>
      <c r="B57" s="125"/>
      <c r="C57" s="108"/>
      <c r="D57" s="118"/>
      <c r="E57" s="118"/>
      <c r="F57" s="119"/>
      <c r="G57" s="111" t="s">
        <v>241</v>
      </c>
      <c r="H57" s="112">
        <v>900000</v>
      </c>
    </row>
    <row r="58" spans="1:8" ht="18.75" customHeight="1">
      <c r="A58" s="224"/>
      <c r="B58" s="125"/>
      <c r="C58" s="108"/>
      <c r="D58" s="118"/>
      <c r="E58" s="118"/>
      <c r="F58" s="119"/>
      <c r="G58" s="146" t="s">
        <v>250</v>
      </c>
      <c r="H58" s="112">
        <v>9000000</v>
      </c>
    </row>
    <row r="59" spans="1:8" ht="18.75" customHeight="1">
      <c r="A59" s="224"/>
      <c r="B59" s="125"/>
      <c r="C59" s="108"/>
      <c r="D59" s="118"/>
      <c r="E59" s="118"/>
      <c r="F59" s="119"/>
      <c r="G59" s="146" t="s">
        <v>260</v>
      </c>
      <c r="H59" s="112">
        <v>3738000</v>
      </c>
    </row>
    <row r="60" spans="1:8" ht="18.75" customHeight="1">
      <c r="A60" s="224"/>
      <c r="B60" s="125"/>
      <c r="C60" s="108"/>
      <c r="D60" s="118"/>
      <c r="E60" s="118"/>
      <c r="F60" s="119"/>
      <c r="G60" s="146" t="s">
        <v>261</v>
      </c>
      <c r="H60" s="112">
        <v>2830000</v>
      </c>
    </row>
    <row r="61" spans="1:8" ht="18.75" customHeight="1">
      <c r="A61" s="224"/>
      <c r="B61" s="125"/>
      <c r="C61" s="108"/>
      <c r="D61" s="118"/>
      <c r="E61" s="118"/>
      <c r="F61" s="119"/>
      <c r="G61" s="146" t="s">
        <v>262</v>
      </c>
      <c r="H61" s="112">
        <v>245000</v>
      </c>
    </row>
    <row r="62" spans="1:8" ht="18.75" customHeight="1">
      <c r="A62" s="224"/>
      <c r="B62" s="125"/>
      <c r="C62" s="108"/>
      <c r="D62" s="118"/>
      <c r="E62" s="118"/>
      <c r="F62" s="119"/>
      <c r="G62" s="146" t="s">
        <v>263</v>
      </c>
      <c r="H62" s="112">
        <v>1248000</v>
      </c>
    </row>
    <row r="63" spans="1:8" ht="18.75" customHeight="1">
      <c r="A63" s="224"/>
      <c r="B63" s="125"/>
      <c r="C63" s="108"/>
      <c r="D63" s="118"/>
      <c r="E63" s="118"/>
      <c r="F63" s="119"/>
      <c r="G63" s="146" t="s">
        <v>264</v>
      </c>
      <c r="H63" s="112">
        <v>740000</v>
      </c>
    </row>
    <row r="64" spans="1:8" ht="18.75" customHeight="1">
      <c r="A64" s="224"/>
      <c r="B64" s="125"/>
      <c r="C64" s="108"/>
      <c r="D64" s="118"/>
      <c r="E64" s="118"/>
      <c r="F64" s="119"/>
      <c r="G64" s="147" t="s">
        <v>242</v>
      </c>
      <c r="H64" s="112">
        <v>102533000</v>
      </c>
    </row>
    <row r="65" spans="1:8" ht="18.75" customHeight="1">
      <c r="A65" s="224"/>
      <c r="B65" s="125"/>
      <c r="C65" s="108"/>
      <c r="D65" s="118"/>
      <c r="E65" s="118"/>
      <c r="F65" s="119"/>
      <c r="G65" s="147" t="s">
        <v>243</v>
      </c>
      <c r="H65" s="112">
        <v>1390000</v>
      </c>
    </row>
    <row r="66" spans="1:8" ht="18.75" customHeight="1">
      <c r="A66" s="224"/>
      <c r="B66" s="125"/>
      <c r="C66" s="108"/>
      <c r="D66" s="118"/>
      <c r="E66" s="118"/>
      <c r="F66" s="119"/>
      <c r="G66" s="147" t="s">
        <v>244</v>
      </c>
      <c r="H66" s="112">
        <v>5367000</v>
      </c>
    </row>
    <row r="67" spans="1:8" ht="18.75" customHeight="1">
      <c r="A67" s="224"/>
      <c r="B67" s="125"/>
      <c r="C67" s="108"/>
      <c r="D67" s="118"/>
      <c r="E67" s="118"/>
      <c r="F67" s="119"/>
      <c r="G67" s="147" t="s">
        <v>245</v>
      </c>
      <c r="H67" s="112">
        <v>10395000</v>
      </c>
    </row>
    <row r="68" spans="1:8" ht="18.75" customHeight="1">
      <c r="A68" s="224"/>
      <c r="B68" s="125"/>
      <c r="C68" s="108"/>
      <c r="D68" s="118"/>
      <c r="E68" s="118"/>
      <c r="F68" s="119"/>
      <c r="G68" s="147" t="s">
        <v>246</v>
      </c>
      <c r="H68" s="112">
        <v>12440000</v>
      </c>
    </row>
    <row r="69" spans="1:8" ht="18.75" customHeight="1">
      <c r="A69" s="224"/>
      <c r="B69" s="125"/>
      <c r="C69" s="108"/>
      <c r="D69" s="118"/>
      <c r="E69" s="118"/>
      <c r="F69" s="119"/>
      <c r="G69" s="147" t="s">
        <v>247</v>
      </c>
      <c r="H69" s="112">
        <v>3135000</v>
      </c>
    </row>
    <row r="70" spans="1:8" ht="18.75" customHeight="1">
      <c r="A70" s="224"/>
      <c r="B70" s="125"/>
      <c r="C70" s="108"/>
      <c r="D70" s="118"/>
      <c r="E70" s="118"/>
      <c r="F70" s="119"/>
      <c r="G70" s="147" t="s">
        <v>248</v>
      </c>
      <c r="H70" s="112">
        <v>14057000</v>
      </c>
    </row>
    <row r="71" spans="1:8" ht="18.75" customHeight="1">
      <c r="A71" s="224"/>
      <c r="B71" s="125"/>
      <c r="C71" s="108"/>
      <c r="D71" s="118"/>
      <c r="E71" s="118"/>
      <c r="F71" s="119"/>
      <c r="G71" s="147" t="s">
        <v>249</v>
      </c>
      <c r="H71" s="112">
        <v>5932000</v>
      </c>
    </row>
    <row r="72" spans="1:8" ht="18.75" customHeight="1">
      <c r="A72" s="224"/>
      <c r="B72" s="125"/>
      <c r="C72" s="108"/>
      <c r="D72" s="118"/>
      <c r="E72" s="118"/>
      <c r="F72" s="119"/>
      <c r="G72" s="147" t="s">
        <v>251</v>
      </c>
      <c r="H72" s="112">
        <v>62725000</v>
      </c>
    </row>
    <row r="73" spans="1:8" ht="18.75" customHeight="1">
      <c r="A73" s="224"/>
      <c r="B73" s="125"/>
      <c r="C73" s="108"/>
      <c r="D73" s="118"/>
      <c r="E73" s="118"/>
      <c r="F73" s="119"/>
      <c r="G73" s="147" t="s">
        <v>253</v>
      </c>
      <c r="H73" s="112">
        <f>ROUNDUP(2107400*4,-3)</f>
        <v>8430000</v>
      </c>
    </row>
    <row r="74" spans="1:8" ht="18.75" customHeight="1">
      <c r="A74" s="224"/>
      <c r="B74" s="125"/>
      <c r="C74" s="108"/>
      <c r="D74" s="118"/>
      <c r="E74" s="118"/>
      <c r="F74" s="119"/>
      <c r="G74" s="147" t="s">
        <v>252</v>
      </c>
      <c r="H74" s="112">
        <v>30494000</v>
      </c>
    </row>
    <row r="75" spans="1:8" ht="18.75" customHeight="1">
      <c r="A75" s="224"/>
      <c r="B75" s="125"/>
      <c r="C75" s="108"/>
      <c r="D75" s="118"/>
      <c r="E75" s="118"/>
      <c r="F75" s="119"/>
      <c r="G75" s="147" t="s">
        <v>254</v>
      </c>
      <c r="H75" s="112">
        <f>ROUNDUP(2107400*1,-3)</f>
        <v>2108000</v>
      </c>
    </row>
    <row r="76" spans="1:8" ht="18.75" customHeight="1">
      <c r="A76" s="224"/>
      <c r="B76" s="125"/>
      <c r="C76" s="108"/>
      <c r="D76" s="118"/>
      <c r="E76" s="118"/>
      <c r="F76" s="119"/>
      <c r="G76" s="147" t="s">
        <v>255</v>
      </c>
      <c r="H76" s="112">
        <v>9862000</v>
      </c>
    </row>
    <row r="77" spans="1:8" ht="18.75" customHeight="1">
      <c r="A77" s="224"/>
      <c r="B77" s="125"/>
      <c r="C77" s="108"/>
      <c r="D77" s="118"/>
      <c r="E77" s="118"/>
      <c r="F77" s="119"/>
      <c r="G77" s="147" t="s">
        <v>256</v>
      </c>
      <c r="H77" s="112">
        <v>4950000</v>
      </c>
    </row>
    <row r="78" spans="1:8" ht="18.75" customHeight="1">
      <c r="A78" s="224"/>
      <c r="B78" s="125"/>
      <c r="C78" s="108"/>
      <c r="D78" s="118"/>
      <c r="E78" s="118"/>
      <c r="F78" s="119"/>
      <c r="G78" s="147" t="s">
        <v>257</v>
      </c>
      <c r="H78" s="112">
        <v>426000</v>
      </c>
    </row>
    <row r="79" spans="1:8" ht="18.75" customHeight="1">
      <c r="A79" s="224"/>
      <c r="B79" s="125"/>
      <c r="C79" s="108"/>
      <c r="D79" s="118"/>
      <c r="E79" s="118"/>
      <c r="F79" s="119"/>
      <c r="G79" s="147" t="s">
        <v>258</v>
      </c>
      <c r="H79" s="112">
        <v>3904000</v>
      </c>
    </row>
    <row r="80" spans="1:8" ht="18.75" customHeight="1">
      <c r="A80" s="224"/>
      <c r="B80" s="125"/>
      <c r="C80" s="108"/>
      <c r="D80" s="118"/>
      <c r="E80" s="118"/>
      <c r="F80" s="119"/>
      <c r="G80" s="147" t="s">
        <v>259</v>
      </c>
      <c r="H80" s="112">
        <v>2315000</v>
      </c>
    </row>
    <row r="81" spans="1:8" ht="18.75" customHeight="1">
      <c r="A81" s="348" t="s">
        <v>74</v>
      </c>
      <c r="B81" s="349"/>
      <c r="C81" s="349"/>
      <c r="D81" s="148">
        <f>D82+D117</f>
        <v>67166</v>
      </c>
      <c r="E81" s="148">
        <f>E82+E117</f>
        <v>67306</v>
      </c>
      <c r="F81" s="149">
        <f>F82+F117</f>
        <v>-140</v>
      </c>
      <c r="G81" s="150" t="s">
        <v>14</v>
      </c>
      <c r="H81" s="151"/>
    </row>
    <row r="82" spans="1:8" ht="18.75" customHeight="1">
      <c r="A82" s="224" t="s">
        <v>14</v>
      </c>
      <c r="B82" s="350" t="s">
        <v>75</v>
      </c>
      <c r="C82" s="351"/>
      <c r="D82" s="99">
        <f>SUM(D83:D116)</f>
        <v>60763</v>
      </c>
      <c r="E82" s="99">
        <f>SUM(E83:E116)</f>
        <v>60498</v>
      </c>
      <c r="F82" s="100">
        <f>SUM(F83:F116)</f>
        <v>265</v>
      </c>
      <c r="G82" s="101" t="s">
        <v>14</v>
      </c>
      <c r="H82" s="102"/>
    </row>
    <row r="83" spans="1:8" ht="18.75" customHeight="1">
      <c r="A83" s="224"/>
      <c r="B83" s="125" t="s">
        <v>14</v>
      </c>
      <c r="C83" s="103" t="s">
        <v>76</v>
      </c>
      <c r="D83" s="104">
        <f>SUM(H83:H91)/1000</f>
        <v>31437</v>
      </c>
      <c r="E83" s="118">
        <f>31442+720</f>
        <v>32162</v>
      </c>
      <c r="F83" s="119">
        <f>D83-E83</f>
        <v>-725</v>
      </c>
      <c r="G83" s="106" t="s">
        <v>341</v>
      </c>
      <c r="H83" s="107">
        <v>16781000</v>
      </c>
    </row>
    <row r="84" spans="1:8" ht="18.75" customHeight="1">
      <c r="A84" s="224"/>
      <c r="B84" s="125"/>
      <c r="C84" s="108"/>
      <c r="D84" s="118"/>
      <c r="E84" s="118"/>
      <c r="F84" s="119"/>
      <c r="G84" s="111" t="s">
        <v>337</v>
      </c>
      <c r="H84" s="112">
        <v>190000</v>
      </c>
    </row>
    <row r="85" spans="1:8" ht="18.75" customHeight="1">
      <c r="A85" s="224"/>
      <c r="B85" s="125"/>
      <c r="C85" s="108"/>
      <c r="D85" s="118"/>
      <c r="E85" s="118"/>
      <c r="F85" s="119"/>
      <c r="G85" s="111" t="s">
        <v>282</v>
      </c>
      <c r="H85" s="112">
        <v>360000</v>
      </c>
    </row>
    <row r="86" spans="1:8" ht="18.75" customHeight="1">
      <c r="A86" s="224"/>
      <c r="B86" s="125"/>
      <c r="C86" s="108"/>
      <c r="D86" s="118"/>
      <c r="E86" s="118"/>
      <c r="F86" s="119"/>
      <c r="G86" s="111" t="s">
        <v>313</v>
      </c>
      <c r="H86" s="112">
        <v>720000</v>
      </c>
    </row>
    <row r="87" spans="1:8" ht="18.75" customHeight="1">
      <c r="A87" s="224"/>
      <c r="B87" s="125"/>
      <c r="C87" s="108"/>
      <c r="D87" s="118"/>
      <c r="E87" s="118"/>
      <c r="F87" s="119"/>
      <c r="G87" s="111" t="s">
        <v>285</v>
      </c>
      <c r="H87" s="112">
        <v>594000</v>
      </c>
    </row>
    <row r="88" spans="1:8" ht="18.75" customHeight="1">
      <c r="A88" s="224"/>
      <c r="B88" s="125"/>
      <c r="C88" s="108"/>
      <c r="D88" s="118"/>
      <c r="E88" s="118"/>
      <c r="F88" s="119"/>
      <c r="G88" s="120" t="s">
        <v>273</v>
      </c>
      <c r="H88" s="121">
        <v>60000</v>
      </c>
    </row>
    <row r="89" spans="1:8" ht="18.75" customHeight="1">
      <c r="A89" s="224"/>
      <c r="B89" s="125"/>
      <c r="C89" s="108"/>
      <c r="D89" s="118"/>
      <c r="E89" s="118"/>
      <c r="F89" s="119"/>
      <c r="G89" s="111" t="s">
        <v>288</v>
      </c>
      <c r="H89" s="112">
        <v>1050000</v>
      </c>
    </row>
    <row r="90" spans="1:8" ht="18.75" customHeight="1">
      <c r="A90" s="224"/>
      <c r="B90" s="125"/>
      <c r="C90" s="108"/>
      <c r="D90" s="118"/>
      <c r="E90" s="118"/>
      <c r="F90" s="119"/>
      <c r="G90" s="111" t="s">
        <v>274</v>
      </c>
      <c r="H90" s="112">
        <v>3990000</v>
      </c>
    </row>
    <row r="91" spans="1:8" ht="18.75" customHeight="1">
      <c r="A91" s="224"/>
      <c r="B91" s="125"/>
      <c r="C91" s="108"/>
      <c r="D91" s="118"/>
      <c r="E91" s="118"/>
      <c r="F91" s="119"/>
      <c r="G91" s="111" t="s">
        <v>281</v>
      </c>
      <c r="H91" s="112">
        <v>7692000</v>
      </c>
    </row>
    <row r="92" spans="1:8" ht="18.75" customHeight="1">
      <c r="A92" s="152"/>
      <c r="B92" s="152"/>
      <c r="C92" s="153" t="s">
        <v>77</v>
      </c>
      <c r="D92" s="154">
        <f>SUM(H92:H108)/1000</f>
        <v>13887</v>
      </c>
      <c r="E92" s="154">
        <v>14757</v>
      </c>
      <c r="F92" s="105">
        <f>D92-E92</f>
        <v>-870</v>
      </c>
      <c r="G92" s="155" t="s">
        <v>131</v>
      </c>
      <c r="H92" s="131">
        <f>ROUNDUP(4400,-3)</f>
        <v>5000</v>
      </c>
    </row>
    <row r="93" spans="1:8" ht="18.75" customHeight="1">
      <c r="A93" s="224"/>
      <c r="B93" s="125"/>
      <c r="C93" s="156"/>
      <c r="D93" s="118"/>
      <c r="E93" s="118"/>
      <c r="F93" s="119"/>
      <c r="G93" s="111" t="s">
        <v>275</v>
      </c>
      <c r="H93" s="112">
        <v>943000</v>
      </c>
    </row>
    <row r="94" spans="1:8" ht="18.75" customHeight="1">
      <c r="A94" s="224"/>
      <c r="B94" s="125"/>
      <c r="C94" s="156"/>
      <c r="D94" s="118"/>
      <c r="E94" s="118"/>
      <c r="F94" s="119"/>
      <c r="G94" s="111" t="s">
        <v>276</v>
      </c>
      <c r="H94" s="112">
        <v>1254000</v>
      </c>
    </row>
    <row r="95" spans="1:8" ht="18.75" customHeight="1">
      <c r="A95" s="224"/>
      <c r="B95" s="125"/>
      <c r="C95" s="156"/>
      <c r="D95" s="118"/>
      <c r="E95" s="118"/>
      <c r="F95" s="119"/>
      <c r="G95" s="111" t="s">
        <v>277</v>
      </c>
      <c r="H95" s="112">
        <v>350000</v>
      </c>
    </row>
    <row r="96" spans="1:8" ht="18.75" customHeight="1">
      <c r="A96" s="224"/>
      <c r="B96" s="125"/>
      <c r="C96" s="156"/>
      <c r="D96" s="118"/>
      <c r="E96" s="118"/>
      <c r="F96" s="119"/>
      <c r="G96" s="111" t="s">
        <v>132</v>
      </c>
      <c r="H96" s="112">
        <f>50000</f>
        <v>50000</v>
      </c>
    </row>
    <row r="97" spans="1:8" ht="18.75" customHeight="1">
      <c r="A97" s="224"/>
      <c r="B97" s="125"/>
      <c r="C97" s="156"/>
      <c r="D97" s="118"/>
      <c r="E97" s="118"/>
      <c r="F97" s="119"/>
      <c r="G97" s="111" t="s">
        <v>283</v>
      </c>
      <c r="H97" s="112">
        <v>2505000</v>
      </c>
    </row>
    <row r="98" spans="1:8" ht="18.75" customHeight="1">
      <c r="A98" s="224"/>
      <c r="B98" s="125"/>
      <c r="C98" s="156"/>
      <c r="D98" s="118"/>
      <c r="E98" s="118"/>
      <c r="F98" s="119"/>
      <c r="G98" s="111" t="s">
        <v>266</v>
      </c>
      <c r="H98" s="112">
        <v>1335000</v>
      </c>
    </row>
    <row r="99" spans="1:8" ht="18.75" customHeight="1">
      <c r="A99" s="224"/>
      <c r="B99" s="125"/>
      <c r="C99" s="156"/>
      <c r="D99" s="118"/>
      <c r="E99" s="118"/>
      <c r="F99" s="119"/>
      <c r="G99" s="111" t="s">
        <v>128</v>
      </c>
      <c r="H99" s="112">
        <f>44000*12</f>
        <v>528000</v>
      </c>
    </row>
    <row r="100" spans="1:8" ht="18.75" customHeight="1">
      <c r="A100" s="224"/>
      <c r="B100" s="125"/>
      <c r="C100" s="156"/>
      <c r="D100" s="118"/>
      <c r="E100" s="118"/>
      <c r="F100" s="119"/>
      <c r="G100" s="111" t="s">
        <v>129</v>
      </c>
      <c r="H100" s="112">
        <f>15000*12</f>
        <v>180000</v>
      </c>
    </row>
    <row r="101" spans="1:8" ht="18.75" customHeight="1">
      <c r="A101" s="224"/>
      <c r="B101" s="125"/>
      <c r="C101" s="156"/>
      <c r="D101" s="118"/>
      <c r="E101" s="118"/>
      <c r="F101" s="119"/>
      <c r="G101" s="111" t="s">
        <v>271</v>
      </c>
      <c r="H101" s="112">
        <v>27000</v>
      </c>
    </row>
    <row r="102" spans="1:8" ht="18.75" customHeight="1">
      <c r="A102" s="224"/>
      <c r="B102" s="125"/>
      <c r="C102" s="156"/>
      <c r="D102" s="118"/>
      <c r="E102" s="118"/>
      <c r="F102" s="119"/>
      <c r="G102" s="111" t="s">
        <v>267</v>
      </c>
      <c r="H102" s="112">
        <v>2359000</v>
      </c>
    </row>
    <row r="103" spans="1:8" ht="18.75" customHeight="1">
      <c r="A103" s="224"/>
      <c r="B103" s="125"/>
      <c r="C103" s="156"/>
      <c r="D103" s="118"/>
      <c r="E103" s="118"/>
      <c r="F103" s="119"/>
      <c r="G103" s="111" t="s">
        <v>278</v>
      </c>
      <c r="H103" s="112">
        <v>44000</v>
      </c>
    </row>
    <row r="104" spans="1:8" ht="18.75" customHeight="1">
      <c r="A104" s="224"/>
      <c r="B104" s="125"/>
      <c r="C104" s="156"/>
      <c r="D104" s="118"/>
      <c r="E104" s="118"/>
      <c r="F104" s="119"/>
      <c r="G104" s="111" t="s">
        <v>265</v>
      </c>
      <c r="H104" s="112">
        <v>310000</v>
      </c>
    </row>
    <row r="105" spans="1:8" ht="18.75" customHeight="1">
      <c r="A105" s="224"/>
      <c r="B105" s="125"/>
      <c r="C105" s="156"/>
      <c r="D105" s="118"/>
      <c r="E105" s="118"/>
      <c r="F105" s="119"/>
      <c r="G105" s="158" t="s">
        <v>279</v>
      </c>
      <c r="H105" s="121">
        <v>1017000</v>
      </c>
    </row>
    <row r="106" spans="1:8" ht="18.75" customHeight="1">
      <c r="A106" s="224"/>
      <c r="B106" s="125"/>
      <c r="C106" s="156"/>
      <c r="D106" s="118"/>
      <c r="E106" s="118"/>
      <c r="F106" s="119"/>
      <c r="G106" s="123" t="s">
        <v>272</v>
      </c>
      <c r="H106" s="112">
        <v>700000</v>
      </c>
    </row>
    <row r="107" spans="1:8" ht="18.75" customHeight="1">
      <c r="A107" s="224"/>
      <c r="B107" s="125"/>
      <c r="C107" s="156"/>
      <c r="D107" s="118"/>
      <c r="E107" s="118"/>
      <c r="F107" s="119"/>
      <c r="G107" s="160" t="s">
        <v>130</v>
      </c>
      <c r="H107" s="161">
        <f>55000*2*12</f>
        <v>1320000</v>
      </c>
    </row>
    <row r="108" spans="1:8" ht="18.75" customHeight="1">
      <c r="A108" s="140"/>
      <c r="B108" s="135"/>
      <c r="C108" s="157"/>
      <c r="D108" s="114"/>
      <c r="E108" s="114"/>
      <c r="F108" s="115"/>
      <c r="G108" s="304" t="s">
        <v>333</v>
      </c>
      <c r="H108" s="117">
        <f>40000*2*12</f>
        <v>960000</v>
      </c>
    </row>
    <row r="109" spans="1:8" ht="18.75" customHeight="1">
      <c r="A109" s="98"/>
      <c r="B109" s="125"/>
      <c r="C109" s="108" t="s">
        <v>78</v>
      </c>
      <c r="D109" s="118">
        <f>SUM(H109:H113)/1000</f>
        <v>6382</v>
      </c>
      <c r="E109" s="118">
        <v>4535</v>
      </c>
      <c r="F109" s="119">
        <f>D109-E109</f>
        <v>1847</v>
      </c>
      <c r="G109" s="162" t="s">
        <v>270</v>
      </c>
      <c r="H109" s="112">
        <v>724000</v>
      </c>
    </row>
    <row r="110" spans="1:8" ht="18.75" customHeight="1">
      <c r="A110" s="98"/>
      <c r="B110" s="125"/>
      <c r="C110" s="108"/>
      <c r="D110" s="118"/>
      <c r="E110" s="118"/>
      <c r="F110" s="119"/>
      <c r="G110" s="162" t="s">
        <v>268</v>
      </c>
      <c r="H110" s="112">
        <v>1219000</v>
      </c>
    </row>
    <row r="111" spans="1:8" ht="18.75" customHeight="1">
      <c r="A111" s="98"/>
      <c r="B111" s="125"/>
      <c r="C111" s="108"/>
      <c r="D111" s="118"/>
      <c r="E111" s="118"/>
      <c r="F111" s="119"/>
      <c r="G111" s="162" t="s">
        <v>269</v>
      </c>
      <c r="H111" s="112">
        <v>1520000</v>
      </c>
    </row>
    <row r="112" spans="1:8" ht="18.75" customHeight="1">
      <c r="A112" s="224"/>
      <c r="B112" s="125"/>
      <c r="C112" s="108"/>
      <c r="D112" s="118"/>
      <c r="E112" s="118"/>
      <c r="F112" s="119"/>
      <c r="G112" s="162" t="s">
        <v>334</v>
      </c>
      <c r="H112" s="112">
        <v>2619000</v>
      </c>
    </row>
    <row r="113" spans="1:8" ht="18.75" customHeight="1">
      <c r="A113" s="98"/>
      <c r="B113" s="125"/>
      <c r="C113" s="108"/>
      <c r="D113" s="118"/>
      <c r="E113" s="118"/>
      <c r="F113" s="119"/>
      <c r="G113" s="162" t="s">
        <v>133</v>
      </c>
      <c r="H113" s="112">
        <f>25000*12</f>
        <v>300000</v>
      </c>
    </row>
    <row r="114" spans="1:8" ht="18.75" customHeight="1">
      <c r="A114" s="98"/>
      <c r="B114" s="125"/>
      <c r="C114" s="103" t="s">
        <v>79</v>
      </c>
      <c r="D114" s="104">
        <f>SUM(H114:H115)/1000</f>
        <v>8859</v>
      </c>
      <c r="E114" s="104">
        <v>6544</v>
      </c>
      <c r="F114" s="105">
        <f>D114-E114</f>
        <v>2315</v>
      </c>
      <c r="G114" s="106" t="s">
        <v>338</v>
      </c>
      <c r="H114" s="107">
        <v>6576000</v>
      </c>
    </row>
    <row r="115" spans="1:8" ht="18.75" customHeight="1">
      <c r="A115" s="98"/>
      <c r="B115" s="125"/>
      <c r="C115" s="124"/>
      <c r="D115" s="126"/>
      <c r="E115" s="126"/>
      <c r="F115" s="127">
        <f t="shared" ref="F115:F116" si="0">D115-E115</f>
        <v>0</v>
      </c>
      <c r="G115" s="163" t="s">
        <v>339</v>
      </c>
      <c r="H115" s="164">
        <v>2283000</v>
      </c>
    </row>
    <row r="116" spans="1:8" ht="18.75" customHeight="1">
      <c r="A116" s="98"/>
      <c r="B116" s="125"/>
      <c r="C116" s="103" t="s">
        <v>80</v>
      </c>
      <c r="D116" s="104">
        <f>SUM(H116:H116)/1000</f>
        <v>198</v>
      </c>
      <c r="E116" s="104">
        <v>2500</v>
      </c>
      <c r="F116" s="105">
        <f t="shared" si="0"/>
        <v>-2302</v>
      </c>
      <c r="G116" s="120" t="s">
        <v>294</v>
      </c>
      <c r="H116" s="121">
        <v>198000</v>
      </c>
    </row>
    <row r="117" spans="1:8" ht="18.75" customHeight="1">
      <c r="A117" s="98"/>
      <c r="B117" s="350" t="s">
        <v>81</v>
      </c>
      <c r="C117" s="351"/>
      <c r="D117" s="99">
        <f>SUM(D118:D120)</f>
        <v>6403</v>
      </c>
      <c r="E117" s="99">
        <f>SUM(E118:E120)</f>
        <v>6808</v>
      </c>
      <c r="F117" s="100">
        <f>SUM(F118:F120)</f>
        <v>-405</v>
      </c>
      <c r="G117" s="101" t="s">
        <v>14</v>
      </c>
      <c r="H117" s="102"/>
    </row>
    <row r="118" spans="1:8" ht="18.75" customHeight="1">
      <c r="A118" s="98"/>
      <c r="B118" s="367" t="s">
        <v>14</v>
      </c>
      <c r="C118" s="103" t="s">
        <v>82</v>
      </c>
      <c r="D118" s="104">
        <f>SUM(H118:H119)/1000</f>
        <v>3403</v>
      </c>
      <c r="E118" s="118">
        <v>3808</v>
      </c>
      <c r="F118" s="119">
        <f>D118-E118</f>
        <v>-405</v>
      </c>
      <c r="G118" s="111" t="s">
        <v>286</v>
      </c>
      <c r="H118" s="112">
        <v>2208000</v>
      </c>
    </row>
    <row r="119" spans="1:8" ht="18.75" customHeight="1">
      <c r="A119" s="98"/>
      <c r="B119" s="367"/>
      <c r="C119" s="108"/>
      <c r="D119" s="118"/>
      <c r="E119" s="118"/>
      <c r="F119" s="119"/>
      <c r="G119" s="111" t="s">
        <v>287</v>
      </c>
      <c r="H119" s="112">
        <v>1195000</v>
      </c>
    </row>
    <row r="120" spans="1:8" ht="18.75" customHeight="1">
      <c r="A120" s="165" t="s">
        <v>14</v>
      </c>
      <c r="B120" s="166" t="s">
        <v>14</v>
      </c>
      <c r="C120" s="167" t="s">
        <v>83</v>
      </c>
      <c r="D120" s="104">
        <f>SUM(H120)/1000</f>
        <v>3000</v>
      </c>
      <c r="E120" s="168">
        <v>3000</v>
      </c>
      <c r="F120" s="169">
        <f>D120-E120</f>
        <v>0</v>
      </c>
      <c r="G120" s="170" t="s">
        <v>134</v>
      </c>
      <c r="H120" s="171">
        <f>250000*12</f>
        <v>3000000</v>
      </c>
    </row>
    <row r="121" spans="1:8" ht="18.75" customHeight="1">
      <c r="A121" s="346" t="s">
        <v>84</v>
      </c>
      <c r="B121" s="347"/>
      <c r="C121" s="347"/>
      <c r="D121" s="172">
        <f>D122</f>
        <v>121519</v>
      </c>
      <c r="E121" s="172">
        <f>E122</f>
        <v>117914</v>
      </c>
      <c r="F121" s="173">
        <f>F122</f>
        <v>3605</v>
      </c>
      <c r="G121" s="174" t="s">
        <v>14</v>
      </c>
      <c r="H121" s="175"/>
    </row>
    <row r="122" spans="1:8" ht="18.75" customHeight="1">
      <c r="A122" s="352" t="s">
        <v>14</v>
      </c>
      <c r="B122" s="350" t="s">
        <v>85</v>
      </c>
      <c r="C122" s="351"/>
      <c r="D122" s="99">
        <f>SUM(D123:D140)</f>
        <v>121519</v>
      </c>
      <c r="E122" s="99">
        <f>SUM(E123:E140)</f>
        <v>117914</v>
      </c>
      <c r="F122" s="100">
        <f>SUM(F123:F140)</f>
        <v>3605</v>
      </c>
      <c r="G122" s="101" t="s">
        <v>14</v>
      </c>
      <c r="H122" s="102"/>
    </row>
    <row r="123" spans="1:8" ht="18.75" customHeight="1">
      <c r="A123" s="352"/>
      <c r="B123" s="367" t="s">
        <v>14</v>
      </c>
      <c r="C123" s="103" t="s">
        <v>86</v>
      </c>
      <c r="D123" s="104">
        <f>SUM(H123:H125)/1000</f>
        <v>2280</v>
      </c>
      <c r="E123" s="104">
        <v>1400</v>
      </c>
      <c r="F123" s="105">
        <f>D123-E123</f>
        <v>880</v>
      </c>
      <c r="G123" s="111" t="s">
        <v>295</v>
      </c>
      <c r="H123" s="112">
        <v>280000</v>
      </c>
    </row>
    <row r="124" spans="1:8" ht="18.75" customHeight="1">
      <c r="A124" s="352"/>
      <c r="B124" s="367"/>
      <c r="C124" s="108"/>
      <c r="D124" s="118"/>
      <c r="E124" s="118"/>
      <c r="F124" s="119"/>
      <c r="G124" s="111" t="s">
        <v>311</v>
      </c>
      <c r="H124" s="112">
        <v>1000000</v>
      </c>
    </row>
    <row r="125" spans="1:8" ht="18.75" customHeight="1">
      <c r="A125" s="352"/>
      <c r="B125" s="367"/>
      <c r="C125" s="124"/>
      <c r="D125" s="126"/>
      <c r="E125" s="126"/>
      <c r="F125" s="127"/>
      <c r="G125" s="163" t="s">
        <v>135</v>
      </c>
      <c r="H125" s="164">
        <v>1000000</v>
      </c>
    </row>
    <row r="126" spans="1:8" ht="18.75" customHeight="1">
      <c r="A126" s="352" t="s">
        <v>14</v>
      </c>
      <c r="B126" s="367" t="s">
        <v>14</v>
      </c>
      <c r="C126" s="103" t="s">
        <v>87</v>
      </c>
      <c r="D126" s="104">
        <f>SUM(H126:H129)/1000</f>
        <v>7089</v>
      </c>
      <c r="E126" s="104">
        <v>7760</v>
      </c>
      <c r="F126" s="105">
        <f>D126-E126</f>
        <v>-671</v>
      </c>
      <c r="G126" s="106" t="s">
        <v>136</v>
      </c>
      <c r="H126" s="107">
        <f>ROUNDUP(285710*7,-3)</f>
        <v>2000000</v>
      </c>
    </row>
    <row r="127" spans="1:8" ht="18.75" customHeight="1">
      <c r="A127" s="352"/>
      <c r="B127" s="367"/>
      <c r="C127" s="108"/>
      <c r="D127" s="118"/>
      <c r="E127" s="118"/>
      <c r="F127" s="119"/>
      <c r="G127" s="111" t="s">
        <v>340</v>
      </c>
      <c r="H127" s="112">
        <v>3778000</v>
      </c>
    </row>
    <row r="128" spans="1:8" ht="18.75" customHeight="1">
      <c r="A128" s="352"/>
      <c r="B128" s="367"/>
      <c r="C128" s="108"/>
      <c r="D128" s="118"/>
      <c r="E128" s="118"/>
      <c r="F128" s="119"/>
      <c r="G128" s="111" t="s">
        <v>284</v>
      </c>
      <c r="H128" s="112">
        <v>911000</v>
      </c>
    </row>
    <row r="129" spans="1:8" ht="18.75" customHeight="1">
      <c r="A129" s="352"/>
      <c r="B129" s="367"/>
      <c r="C129" s="108"/>
      <c r="D129" s="118"/>
      <c r="E129" s="118"/>
      <c r="F129" s="119"/>
      <c r="G129" s="111" t="s">
        <v>137</v>
      </c>
      <c r="H129" s="112">
        <v>400000</v>
      </c>
    </row>
    <row r="130" spans="1:8" ht="18.75" customHeight="1">
      <c r="A130" s="352" t="s">
        <v>14</v>
      </c>
      <c r="B130" s="365" t="s">
        <v>14</v>
      </c>
      <c r="C130" s="176" t="s">
        <v>88</v>
      </c>
      <c r="D130" s="144">
        <f>SUM(H130:H135)/1000</f>
        <v>7017</v>
      </c>
      <c r="E130" s="144">
        <v>7500</v>
      </c>
      <c r="F130" s="145">
        <f>D130-E130</f>
        <v>-483</v>
      </c>
      <c r="G130" s="155" t="s">
        <v>293</v>
      </c>
      <c r="H130" s="131">
        <v>450000</v>
      </c>
    </row>
    <row r="131" spans="1:8" ht="18.75" customHeight="1">
      <c r="A131" s="352"/>
      <c r="B131" s="365"/>
      <c r="C131" s="177"/>
      <c r="D131" s="118"/>
      <c r="E131" s="118"/>
      <c r="F131" s="119"/>
      <c r="G131" s="111" t="s">
        <v>291</v>
      </c>
      <c r="H131" s="112">
        <v>1011000</v>
      </c>
    </row>
    <row r="132" spans="1:8" ht="18.75" customHeight="1">
      <c r="A132" s="352"/>
      <c r="B132" s="365"/>
      <c r="C132" s="177"/>
      <c r="D132" s="118"/>
      <c r="E132" s="118"/>
      <c r="F132" s="119"/>
      <c r="G132" s="111" t="s">
        <v>138</v>
      </c>
      <c r="H132" s="112">
        <v>1000000</v>
      </c>
    </row>
    <row r="133" spans="1:8" ht="18.75" customHeight="1">
      <c r="A133" s="352"/>
      <c r="B133" s="365"/>
      <c r="C133" s="177"/>
      <c r="D133" s="118"/>
      <c r="E133" s="118"/>
      <c r="F133" s="119"/>
      <c r="G133" s="111" t="s">
        <v>289</v>
      </c>
      <c r="H133" s="112">
        <v>1000000</v>
      </c>
    </row>
    <row r="134" spans="1:8" ht="18.75" customHeight="1">
      <c r="A134" s="352"/>
      <c r="B134" s="365"/>
      <c r="C134" s="177"/>
      <c r="D134" s="118"/>
      <c r="E134" s="118"/>
      <c r="F134" s="119"/>
      <c r="G134" s="120" t="s">
        <v>292</v>
      </c>
      <c r="H134" s="121">
        <v>2056000</v>
      </c>
    </row>
    <row r="135" spans="1:8" ht="18.75" customHeight="1">
      <c r="A135" s="352"/>
      <c r="B135" s="365"/>
      <c r="C135" s="178"/>
      <c r="D135" s="114"/>
      <c r="E135" s="114"/>
      <c r="F135" s="115"/>
      <c r="G135" s="179" t="s">
        <v>290</v>
      </c>
      <c r="H135" s="180">
        <v>1500000</v>
      </c>
    </row>
    <row r="136" spans="1:8" ht="18.75" customHeight="1">
      <c r="A136" s="352" t="s">
        <v>14</v>
      </c>
      <c r="B136" s="367" t="s">
        <v>14</v>
      </c>
      <c r="C136" s="181" t="s">
        <v>89</v>
      </c>
      <c r="D136" s="118">
        <v>0</v>
      </c>
      <c r="E136" s="126"/>
      <c r="F136" s="127"/>
      <c r="G136" s="163" t="s">
        <v>14</v>
      </c>
      <c r="H136" s="164"/>
    </row>
    <row r="137" spans="1:8" ht="18.75" customHeight="1">
      <c r="A137" s="352"/>
      <c r="B137" s="367"/>
      <c r="C137" s="103" t="s">
        <v>90</v>
      </c>
      <c r="D137" s="104">
        <f>SUM(H137:H138)/1000</f>
        <v>1042</v>
      </c>
      <c r="E137" s="118">
        <v>1039</v>
      </c>
      <c r="F137" s="119">
        <f>D137-E137</f>
        <v>3</v>
      </c>
      <c r="G137" s="106" t="s">
        <v>139</v>
      </c>
      <c r="H137" s="107">
        <f>ROUNDUP(58330*12,-3)</f>
        <v>700000</v>
      </c>
    </row>
    <row r="138" spans="1:8" ht="18.75" customHeight="1">
      <c r="A138" s="352"/>
      <c r="B138" s="367"/>
      <c r="C138" s="108"/>
      <c r="D138" s="118"/>
      <c r="E138" s="118"/>
      <c r="F138" s="119"/>
      <c r="G138" s="111" t="s">
        <v>298</v>
      </c>
      <c r="H138" s="112">
        <v>342000</v>
      </c>
    </row>
    <row r="139" spans="1:8" ht="18.75" customHeight="1">
      <c r="A139" s="352" t="s">
        <v>14</v>
      </c>
      <c r="B139" s="365" t="s">
        <v>14</v>
      </c>
      <c r="C139" s="176" t="s">
        <v>91</v>
      </c>
      <c r="D139" s="144">
        <f>SUM(H139:H140)/1000</f>
        <v>104091</v>
      </c>
      <c r="E139" s="144">
        <f>66244+33971</f>
        <v>100215</v>
      </c>
      <c r="F139" s="145">
        <f>D139-E139</f>
        <v>3876</v>
      </c>
      <c r="G139" s="155" t="s">
        <v>312</v>
      </c>
      <c r="H139" s="131">
        <v>72300000</v>
      </c>
    </row>
    <row r="140" spans="1:8" ht="18.75" customHeight="1">
      <c r="A140" s="356"/>
      <c r="B140" s="366"/>
      <c r="C140" s="178"/>
      <c r="D140" s="114"/>
      <c r="E140" s="114"/>
      <c r="F140" s="115"/>
      <c r="G140" s="116" t="s">
        <v>336</v>
      </c>
      <c r="H140" s="117">
        <v>31791000</v>
      </c>
    </row>
    <row r="141" spans="1:8" ht="18.75" customHeight="1">
      <c r="A141" s="346" t="s">
        <v>92</v>
      </c>
      <c r="B141" s="347"/>
      <c r="C141" s="362"/>
      <c r="D141" s="94">
        <f>D142+D156</f>
        <v>469219</v>
      </c>
      <c r="E141" s="94">
        <f>E142+E156</f>
        <v>404867</v>
      </c>
      <c r="F141" s="95">
        <f>F142+F156</f>
        <v>64352</v>
      </c>
      <c r="G141" s="182" t="s">
        <v>14</v>
      </c>
      <c r="H141" s="97"/>
    </row>
    <row r="142" spans="1:8" ht="18.75" customHeight="1">
      <c r="A142" s="98" t="s">
        <v>14</v>
      </c>
      <c r="B142" s="350" t="s">
        <v>93</v>
      </c>
      <c r="C142" s="351"/>
      <c r="D142" s="99">
        <f>SUM(D143:D155)</f>
        <v>402631</v>
      </c>
      <c r="E142" s="99">
        <f>SUM(E143:E155)</f>
        <v>224640</v>
      </c>
      <c r="F142" s="100">
        <f>SUM(F143:F155)</f>
        <v>177991</v>
      </c>
      <c r="G142" s="101" t="s">
        <v>14</v>
      </c>
      <c r="H142" s="102"/>
    </row>
    <row r="143" spans="1:8" ht="18.75" customHeight="1">
      <c r="A143" s="98"/>
      <c r="B143" s="125" t="s">
        <v>14</v>
      </c>
      <c r="C143" s="128" t="s">
        <v>94</v>
      </c>
      <c r="D143" s="144">
        <f>SUM(H143:H143)/1000</f>
        <v>0</v>
      </c>
      <c r="E143" s="104">
        <v>0</v>
      </c>
      <c r="F143" s="105">
        <f>D143-E143</f>
        <v>0</v>
      </c>
      <c r="G143" s="106"/>
      <c r="H143" s="107"/>
    </row>
    <row r="144" spans="1:8" ht="18.75" customHeight="1">
      <c r="A144" s="98"/>
      <c r="B144" s="108"/>
      <c r="C144" s="176" t="s">
        <v>31</v>
      </c>
      <c r="D144" s="144">
        <f>SUM(H144:H155)/1000</f>
        <v>402631</v>
      </c>
      <c r="E144" s="144">
        <v>224640</v>
      </c>
      <c r="F144" s="145">
        <f>D144-E144</f>
        <v>177991</v>
      </c>
      <c r="G144" s="296" t="s">
        <v>303</v>
      </c>
      <c r="H144" s="131">
        <v>82000000</v>
      </c>
    </row>
    <row r="145" spans="1:8" ht="18.75" customHeight="1">
      <c r="A145" s="224"/>
      <c r="B145" s="108"/>
      <c r="C145" s="177"/>
      <c r="D145" s="118"/>
      <c r="E145" s="118"/>
      <c r="F145" s="119"/>
      <c r="G145" s="297" t="s">
        <v>304</v>
      </c>
      <c r="H145" s="112">
        <f>ROUNDUP(1479160*4*12,-3)</f>
        <v>71000000</v>
      </c>
    </row>
    <row r="146" spans="1:8" ht="18.75" customHeight="1">
      <c r="A146" s="224"/>
      <c r="B146" s="108"/>
      <c r="C146" s="177"/>
      <c r="D146" s="118"/>
      <c r="E146" s="118"/>
      <c r="F146" s="119"/>
      <c r="G146" s="297" t="s">
        <v>305</v>
      </c>
      <c r="H146" s="112">
        <f>5500000*12</f>
        <v>66000000</v>
      </c>
    </row>
    <row r="147" spans="1:8" ht="18.75" customHeight="1">
      <c r="A147" s="224"/>
      <c r="B147" s="108"/>
      <c r="C147" s="177"/>
      <c r="D147" s="118"/>
      <c r="E147" s="118"/>
      <c r="F147" s="119"/>
      <c r="G147" s="297" t="s">
        <v>307</v>
      </c>
      <c r="H147" s="112">
        <f>1530000*11</f>
        <v>16830000</v>
      </c>
    </row>
    <row r="148" spans="1:8" ht="18.75" customHeight="1">
      <c r="A148" s="224"/>
      <c r="B148" s="108"/>
      <c r="C148" s="177"/>
      <c r="D148" s="118"/>
      <c r="E148" s="118"/>
      <c r="F148" s="119"/>
      <c r="G148" s="297" t="s">
        <v>308</v>
      </c>
      <c r="H148" s="112">
        <f>62000*30</f>
        <v>1860000</v>
      </c>
    </row>
    <row r="149" spans="1:8" ht="18.75" customHeight="1">
      <c r="A149" s="224"/>
      <c r="B149" s="108"/>
      <c r="C149" s="177"/>
      <c r="D149" s="118"/>
      <c r="E149" s="118"/>
      <c r="F149" s="119"/>
      <c r="G149" s="297" t="s">
        <v>309</v>
      </c>
      <c r="H149" s="112">
        <f>208000*30</f>
        <v>6240000</v>
      </c>
    </row>
    <row r="150" spans="1:8" ht="18.75" customHeight="1">
      <c r="A150" s="224"/>
      <c r="B150" s="108"/>
      <c r="C150" s="177"/>
      <c r="D150" s="118"/>
      <c r="E150" s="118"/>
      <c r="F150" s="119"/>
      <c r="G150" s="297" t="s">
        <v>310</v>
      </c>
      <c r="H150" s="112">
        <v>14159000</v>
      </c>
    </row>
    <row r="151" spans="1:8" ht="18.75" customHeight="1">
      <c r="A151" s="224"/>
      <c r="B151" s="108"/>
      <c r="C151" s="177"/>
      <c r="D151" s="118"/>
      <c r="E151" s="118"/>
      <c r="F151" s="119"/>
      <c r="G151" s="297" t="s">
        <v>306</v>
      </c>
      <c r="H151" s="112">
        <f>642000*12</f>
        <v>7704000</v>
      </c>
    </row>
    <row r="152" spans="1:8" ht="18.75" customHeight="1">
      <c r="A152" s="224"/>
      <c r="B152" s="108"/>
      <c r="C152" s="177"/>
      <c r="D152" s="118"/>
      <c r="E152" s="118"/>
      <c r="F152" s="119"/>
      <c r="G152" s="111" t="s">
        <v>299</v>
      </c>
      <c r="H152" s="112">
        <v>124741000</v>
      </c>
    </row>
    <row r="153" spans="1:8" ht="18.75" customHeight="1">
      <c r="A153" s="224"/>
      <c r="B153" s="108"/>
      <c r="C153" s="177"/>
      <c r="D153" s="118"/>
      <c r="E153" s="118"/>
      <c r="F153" s="119"/>
      <c r="G153" s="111" t="s">
        <v>300</v>
      </c>
      <c r="H153" s="112">
        <v>765000</v>
      </c>
    </row>
    <row r="154" spans="1:8" ht="18.75" customHeight="1">
      <c r="A154" s="224"/>
      <c r="B154" s="108"/>
      <c r="C154" s="177"/>
      <c r="D154" s="118"/>
      <c r="E154" s="118"/>
      <c r="F154" s="119"/>
      <c r="G154" s="111" t="s">
        <v>301</v>
      </c>
      <c r="H154" s="112">
        <v>4332000</v>
      </c>
    </row>
    <row r="155" spans="1:8" ht="18.75" customHeight="1">
      <c r="A155" s="224"/>
      <c r="B155" s="108"/>
      <c r="C155" s="177"/>
      <c r="D155" s="118"/>
      <c r="E155" s="118"/>
      <c r="F155" s="119"/>
      <c r="G155" s="111" t="s">
        <v>302</v>
      </c>
      <c r="H155" s="112">
        <v>7000000</v>
      </c>
    </row>
    <row r="156" spans="1:8" ht="18.75" customHeight="1">
      <c r="A156" s="177"/>
      <c r="B156" s="354" t="s">
        <v>95</v>
      </c>
      <c r="C156" s="355"/>
      <c r="D156" s="285">
        <f>SUM(D157:D163)</f>
        <v>66588</v>
      </c>
      <c r="E156" s="285">
        <f>SUM(E157:E163)</f>
        <v>180227</v>
      </c>
      <c r="F156" s="286">
        <f>SUM(F157:F163)</f>
        <v>-113639</v>
      </c>
      <c r="G156" s="287" t="s">
        <v>14</v>
      </c>
      <c r="H156" s="288"/>
    </row>
    <row r="157" spans="1:8" ht="18.75" customHeight="1">
      <c r="A157" s="177"/>
      <c r="B157" s="191" t="s">
        <v>14</v>
      </c>
      <c r="C157" s="282" t="s">
        <v>36</v>
      </c>
      <c r="D157" s="144">
        <f>H157/1000</f>
        <v>11614</v>
      </c>
      <c r="E157" s="144">
        <v>14168</v>
      </c>
      <c r="F157" s="145">
        <f>D157-E157</f>
        <v>-2554</v>
      </c>
      <c r="G157" s="155" t="s">
        <v>196</v>
      </c>
      <c r="H157" s="131">
        <v>11614000</v>
      </c>
    </row>
    <row r="158" spans="1:8" ht="18.75" customHeight="1">
      <c r="A158" s="177"/>
      <c r="B158" s="191" t="s">
        <v>14</v>
      </c>
      <c r="C158" s="284" t="s">
        <v>37</v>
      </c>
      <c r="D158" s="144">
        <f>SUM(H158:H160)/1000</f>
        <v>23908</v>
      </c>
      <c r="E158" s="104">
        <v>25446</v>
      </c>
      <c r="F158" s="105">
        <f>D158-E158</f>
        <v>-1538</v>
      </c>
      <c r="G158" s="184" t="s">
        <v>280</v>
      </c>
      <c r="H158" s="185">
        <v>21508000</v>
      </c>
    </row>
    <row r="159" spans="1:8" ht="18.75" customHeight="1">
      <c r="A159" s="177"/>
      <c r="B159" s="191"/>
      <c r="C159" s="289"/>
      <c r="D159" s="114"/>
      <c r="E159" s="114"/>
      <c r="F159" s="115"/>
      <c r="G159" s="295" t="s">
        <v>140</v>
      </c>
      <c r="H159" s="180">
        <f>200000*12</f>
        <v>2400000</v>
      </c>
    </row>
    <row r="160" spans="1:8" ht="18.75" hidden="1" customHeight="1">
      <c r="A160" s="177"/>
      <c r="B160" s="223"/>
      <c r="C160" s="226"/>
      <c r="D160" s="126"/>
      <c r="E160" s="126"/>
      <c r="F160" s="127"/>
      <c r="G160" s="186"/>
      <c r="H160" s="187"/>
    </row>
    <row r="161" spans="1:8" ht="18.75" customHeight="1">
      <c r="A161" s="177"/>
      <c r="B161" s="223" t="s">
        <v>14</v>
      </c>
      <c r="C161" s="103" t="s">
        <v>96</v>
      </c>
      <c r="D161" s="144">
        <f>SUM(H161:H161)/1000</f>
        <v>12076</v>
      </c>
      <c r="E161" s="104">
        <v>13293</v>
      </c>
      <c r="F161" s="105">
        <f>D161-E161</f>
        <v>-1217</v>
      </c>
      <c r="G161" s="111" t="s">
        <v>335</v>
      </c>
      <c r="H161" s="112">
        <v>12076000</v>
      </c>
    </row>
    <row r="162" spans="1:8" ht="18.75" customHeight="1">
      <c r="A162" s="177"/>
      <c r="B162" s="223" t="s">
        <v>14</v>
      </c>
      <c r="C162" s="128" t="s">
        <v>97</v>
      </c>
      <c r="D162" s="104"/>
      <c r="E162" s="104"/>
      <c r="F162" s="105">
        <f>D162-E162</f>
        <v>0</v>
      </c>
      <c r="G162" s="106"/>
      <c r="H162" s="107"/>
    </row>
    <row r="163" spans="1:8" ht="18.75" customHeight="1">
      <c r="A163" s="305" t="s">
        <v>14</v>
      </c>
      <c r="B163" s="306" t="s">
        <v>14</v>
      </c>
      <c r="C163" s="307" t="s">
        <v>141</v>
      </c>
      <c r="D163" s="291">
        <f>SUM(H163)/1000</f>
        <v>18990</v>
      </c>
      <c r="E163" s="291">
        <v>127320</v>
      </c>
      <c r="F163" s="292">
        <f>D163-E163</f>
        <v>-108330</v>
      </c>
      <c r="G163" s="293" t="s">
        <v>199</v>
      </c>
      <c r="H163" s="294">
        <v>18990000</v>
      </c>
    </row>
    <row r="164" spans="1:8" ht="18.75" customHeight="1">
      <c r="A164" s="361" t="s">
        <v>98</v>
      </c>
      <c r="B164" s="362"/>
      <c r="C164" s="362"/>
      <c r="D164" s="94">
        <f t="shared" ref="D164:F165" si="1">D165</f>
        <v>0</v>
      </c>
      <c r="E164" s="94">
        <f t="shared" si="1"/>
        <v>0</v>
      </c>
      <c r="F164" s="95">
        <f t="shared" si="1"/>
        <v>0</v>
      </c>
      <c r="G164" s="182" t="s">
        <v>14</v>
      </c>
      <c r="H164" s="97"/>
    </row>
    <row r="165" spans="1:8" ht="18.75" customHeight="1">
      <c r="A165" s="363"/>
      <c r="B165" s="350" t="s">
        <v>99</v>
      </c>
      <c r="C165" s="351"/>
      <c r="D165" s="99">
        <f t="shared" si="1"/>
        <v>0</v>
      </c>
      <c r="E165" s="99">
        <f t="shared" si="1"/>
        <v>0</v>
      </c>
      <c r="F165" s="100">
        <f t="shared" si="1"/>
        <v>0</v>
      </c>
      <c r="G165" s="101" t="s">
        <v>14</v>
      </c>
      <c r="H165" s="102"/>
    </row>
    <row r="166" spans="1:8" ht="18.75" customHeight="1">
      <c r="A166" s="364"/>
      <c r="B166" s="166" t="s">
        <v>14</v>
      </c>
      <c r="C166" s="167" t="s">
        <v>99</v>
      </c>
      <c r="D166" s="168"/>
      <c r="E166" s="168"/>
      <c r="F166" s="169"/>
      <c r="G166" s="170" t="s">
        <v>14</v>
      </c>
      <c r="H166" s="171"/>
    </row>
    <row r="167" spans="1:8" ht="18.75" customHeight="1">
      <c r="A167" s="346" t="s">
        <v>100</v>
      </c>
      <c r="B167" s="347"/>
      <c r="C167" s="347"/>
      <c r="D167" s="172">
        <f>D168</f>
        <v>0</v>
      </c>
      <c r="E167" s="172">
        <f>E168</f>
        <v>0</v>
      </c>
      <c r="F167" s="173">
        <f>F168</f>
        <v>0</v>
      </c>
      <c r="G167" s="189" t="s">
        <v>14</v>
      </c>
      <c r="H167" s="190"/>
    </row>
    <row r="168" spans="1:8" ht="18.75" customHeight="1">
      <c r="A168" s="352" t="s">
        <v>14</v>
      </c>
      <c r="B168" s="350" t="s">
        <v>101</v>
      </c>
      <c r="C168" s="351"/>
      <c r="D168" s="99">
        <f>SUM(D169:D170)</f>
        <v>0</v>
      </c>
      <c r="E168" s="99">
        <f>SUM(E169:E170)</f>
        <v>0</v>
      </c>
      <c r="F168" s="100">
        <f>SUM(F169:F170)</f>
        <v>0</v>
      </c>
      <c r="G168" s="101" t="s">
        <v>14</v>
      </c>
      <c r="H168" s="102"/>
    </row>
    <row r="169" spans="1:8" ht="18.75" customHeight="1">
      <c r="A169" s="352"/>
      <c r="B169" s="183" t="s">
        <v>14</v>
      </c>
      <c r="C169" s="167" t="s">
        <v>102</v>
      </c>
      <c r="D169" s="168"/>
      <c r="E169" s="168"/>
      <c r="F169" s="169"/>
      <c r="G169" s="170" t="s">
        <v>14</v>
      </c>
      <c r="H169" s="171"/>
    </row>
    <row r="170" spans="1:8" ht="18.75" customHeight="1">
      <c r="A170" s="356"/>
      <c r="B170" s="166" t="s">
        <v>14</v>
      </c>
      <c r="C170" s="167" t="s">
        <v>103</v>
      </c>
      <c r="D170" s="168"/>
      <c r="E170" s="168"/>
      <c r="F170" s="169"/>
      <c r="G170" s="170" t="s">
        <v>14</v>
      </c>
      <c r="H170" s="171"/>
    </row>
    <row r="171" spans="1:8" ht="18.75" customHeight="1">
      <c r="A171" s="346" t="s">
        <v>104</v>
      </c>
      <c r="B171" s="347"/>
      <c r="C171" s="347"/>
      <c r="D171" s="172">
        <f>D172</f>
        <v>0</v>
      </c>
      <c r="E171" s="172">
        <f>E172</f>
        <v>0</v>
      </c>
      <c r="F171" s="173">
        <f>F172</f>
        <v>0</v>
      </c>
      <c r="G171" s="189" t="s">
        <v>14</v>
      </c>
      <c r="H171" s="190"/>
    </row>
    <row r="172" spans="1:8" ht="18.75" customHeight="1">
      <c r="A172" s="352" t="s">
        <v>14</v>
      </c>
      <c r="B172" s="350" t="s">
        <v>105</v>
      </c>
      <c r="C172" s="351"/>
      <c r="D172" s="99">
        <f>SUM(D173:D174)</f>
        <v>0</v>
      </c>
      <c r="E172" s="99">
        <f>SUM(E173:E174)</f>
        <v>0</v>
      </c>
      <c r="F172" s="100">
        <f>SUM(F173:F174)</f>
        <v>0</v>
      </c>
      <c r="G172" s="101" t="s">
        <v>14</v>
      </c>
      <c r="H172" s="102"/>
    </row>
    <row r="173" spans="1:8" ht="18.75" customHeight="1">
      <c r="A173" s="352"/>
      <c r="B173" s="183" t="s">
        <v>14</v>
      </c>
      <c r="C173" s="167" t="s">
        <v>106</v>
      </c>
      <c r="D173" s="168"/>
      <c r="E173" s="168"/>
      <c r="F173" s="169"/>
      <c r="G173" s="170" t="s">
        <v>14</v>
      </c>
      <c r="H173" s="171"/>
    </row>
    <row r="174" spans="1:8" ht="18.75" customHeight="1">
      <c r="A174" s="356"/>
      <c r="B174" s="166" t="s">
        <v>14</v>
      </c>
      <c r="C174" s="167" t="s">
        <v>107</v>
      </c>
      <c r="D174" s="168"/>
      <c r="E174" s="168"/>
      <c r="F174" s="169"/>
      <c r="G174" s="170" t="s">
        <v>14</v>
      </c>
      <c r="H174" s="171"/>
    </row>
    <row r="175" spans="1:8" ht="18.75" customHeight="1">
      <c r="A175" s="346" t="s">
        <v>108</v>
      </c>
      <c r="B175" s="347"/>
      <c r="C175" s="347"/>
      <c r="D175" s="172">
        <f>D176+D183</f>
        <v>61325</v>
      </c>
      <c r="E175" s="172">
        <f>E176+E183</f>
        <v>47366</v>
      </c>
      <c r="F175" s="173">
        <f>F176+F183</f>
        <v>13959</v>
      </c>
      <c r="G175" s="189" t="s">
        <v>14</v>
      </c>
      <c r="H175" s="190"/>
    </row>
    <row r="176" spans="1:8" ht="18.75" customHeight="1">
      <c r="A176" s="352" t="s">
        <v>14</v>
      </c>
      <c r="B176" s="350" t="s">
        <v>109</v>
      </c>
      <c r="C176" s="351"/>
      <c r="D176" s="99">
        <f>SUM(D177:D178)</f>
        <v>37408</v>
      </c>
      <c r="E176" s="99">
        <f>SUM(E177:E178)</f>
        <v>43591</v>
      </c>
      <c r="F176" s="100">
        <f>SUM(F177:F178)</f>
        <v>-6183</v>
      </c>
      <c r="G176" s="101" t="s">
        <v>14</v>
      </c>
      <c r="H176" s="102"/>
    </row>
    <row r="177" spans="1:8" ht="18.75" customHeight="1">
      <c r="A177" s="352"/>
      <c r="B177" s="183" t="s">
        <v>14</v>
      </c>
      <c r="C177" s="103" t="s">
        <v>110</v>
      </c>
      <c r="D177" s="104"/>
      <c r="E177" s="104"/>
      <c r="F177" s="105">
        <f>D177-E177</f>
        <v>0</v>
      </c>
      <c r="G177" s="106"/>
      <c r="H177" s="107"/>
    </row>
    <row r="178" spans="1:8" ht="18.75" customHeight="1">
      <c r="A178" s="352" t="s">
        <v>14</v>
      </c>
      <c r="B178" s="225" t="s">
        <v>14</v>
      </c>
      <c r="C178" s="282" t="s">
        <v>111</v>
      </c>
      <c r="D178" s="144">
        <f>SUM(H178:H182)/1000</f>
        <v>37408</v>
      </c>
      <c r="E178" s="144">
        <v>43591</v>
      </c>
      <c r="F178" s="145">
        <f>D178-E178</f>
        <v>-6183</v>
      </c>
      <c r="G178" s="155" t="s">
        <v>296</v>
      </c>
      <c r="H178" s="131">
        <f>ROUNDUP((1831500+5660600+3950000),-3)</f>
        <v>11443000</v>
      </c>
    </row>
    <row r="179" spans="1:8" ht="18.75" customHeight="1">
      <c r="A179" s="352"/>
      <c r="B179" s="225"/>
      <c r="C179" s="191"/>
      <c r="D179" s="118"/>
      <c r="E179" s="118"/>
      <c r="F179" s="119"/>
      <c r="G179" s="111" t="s">
        <v>330</v>
      </c>
      <c r="H179" s="112">
        <f>ROUNDUP((3273600+40700),-3)</f>
        <v>3315000</v>
      </c>
    </row>
    <row r="180" spans="1:8" ht="18.75" customHeight="1">
      <c r="A180" s="352"/>
      <c r="B180" s="225"/>
      <c r="C180" s="191"/>
      <c r="D180" s="118"/>
      <c r="E180" s="118"/>
      <c r="F180" s="119"/>
      <c r="G180" s="111" t="s">
        <v>297</v>
      </c>
      <c r="H180" s="112">
        <v>630000</v>
      </c>
    </row>
    <row r="181" spans="1:8" ht="18.75" customHeight="1">
      <c r="A181" s="352"/>
      <c r="B181" s="225"/>
      <c r="C181" s="191"/>
      <c r="D181" s="118"/>
      <c r="E181" s="118"/>
      <c r="F181" s="119"/>
      <c r="G181" s="111" t="s">
        <v>331</v>
      </c>
      <c r="H181" s="112">
        <f>ROUNDUP((2713140+469410),-3)</f>
        <v>3183000</v>
      </c>
    </row>
    <row r="182" spans="1:8" ht="18.75" customHeight="1">
      <c r="A182" s="352"/>
      <c r="B182" s="225"/>
      <c r="C182" s="289"/>
      <c r="D182" s="114"/>
      <c r="E182" s="114"/>
      <c r="F182" s="115"/>
      <c r="G182" s="116" t="s">
        <v>332</v>
      </c>
      <c r="H182" s="117">
        <f>ROUNDUP((9447790+9388390),-3)</f>
        <v>18837000</v>
      </c>
    </row>
    <row r="183" spans="1:8" ht="18.75" customHeight="1">
      <c r="A183" s="353"/>
      <c r="B183" s="354" t="s">
        <v>112</v>
      </c>
      <c r="C183" s="355"/>
      <c r="D183" s="285">
        <f>SUM(D184:D201)</f>
        <v>23917</v>
      </c>
      <c r="E183" s="285">
        <f>SUM(E184:E201)</f>
        <v>3775</v>
      </c>
      <c r="F183" s="286">
        <f>SUM(F184:F201)</f>
        <v>20142</v>
      </c>
      <c r="G183" s="287" t="s">
        <v>14</v>
      </c>
      <c r="H183" s="288"/>
    </row>
    <row r="184" spans="1:8" ht="18.75" customHeight="1">
      <c r="A184" s="353"/>
      <c r="B184" s="191" t="s">
        <v>14</v>
      </c>
      <c r="C184" s="282" t="s">
        <v>113</v>
      </c>
      <c r="D184" s="144">
        <f>SUM(H184:H200)/1000</f>
        <v>23917</v>
      </c>
      <c r="E184" s="283">
        <v>3775</v>
      </c>
      <c r="F184" s="145">
        <f>D184-E184</f>
        <v>20142</v>
      </c>
      <c r="G184" s="252" t="s">
        <v>183</v>
      </c>
      <c r="H184" s="253">
        <v>8000000</v>
      </c>
    </row>
    <row r="185" spans="1:8" ht="18.75" customHeight="1">
      <c r="A185" s="191"/>
      <c r="B185" s="191"/>
      <c r="C185" s="191"/>
      <c r="D185" s="159"/>
      <c r="E185" s="159"/>
      <c r="F185" s="119"/>
      <c r="G185" s="111" t="s">
        <v>314</v>
      </c>
      <c r="H185" s="112">
        <v>3790000</v>
      </c>
    </row>
    <row r="186" spans="1:8" ht="18.75" customHeight="1">
      <c r="A186" s="191"/>
      <c r="B186" s="191"/>
      <c r="C186" s="191"/>
      <c r="D186" s="159"/>
      <c r="E186" s="159"/>
      <c r="F186" s="119"/>
      <c r="G186" s="111" t="s">
        <v>315</v>
      </c>
      <c r="H186" s="112">
        <v>1585000</v>
      </c>
    </row>
    <row r="187" spans="1:8" ht="18.75" customHeight="1">
      <c r="A187" s="191"/>
      <c r="B187" s="191"/>
      <c r="C187" s="191"/>
      <c r="D187" s="159"/>
      <c r="E187" s="159"/>
      <c r="F187" s="119"/>
      <c r="G187" s="111" t="s">
        <v>316</v>
      </c>
      <c r="H187" s="112">
        <v>1570000</v>
      </c>
    </row>
    <row r="188" spans="1:8" ht="18.75" customHeight="1">
      <c r="A188" s="191"/>
      <c r="B188" s="191"/>
      <c r="C188" s="191"/>
      <c r="D188" s="159"/>
      <c r="E188" s="159"/>
      <c r="F188" s="119"/>
      <c r="G188" s="111" t="s">
        <v>317</v>
      </c>
      <c r="H188" s="112">
        <v>550000</v>
      </c>
    </row>
    <row r="189" spans="1:8" ht="18.75" customHeight="1">
      <c r="A189" s="191"/>
      <c r="B189" s="191"/>
      <c r="C189" s="191"/>
      <c r="D189" s="159"/>
      <c r="E189" s="159"/>
      <c r="F189" s="119"/>
      <c r="G189" s="111" t="s">
        <v>318</v>
      </c>
      <c r="H189" s="112">
        <v>736000</v>
      </c>
    </row>
    <row r="190" spans="1:8" ht="18.75" customHeight="1">
      <c r="A190" s="191"/>
      <c r="B190" s="191"/>
      <c r="C190" s="191"/>
      <c r="D190" s="159"/>
      <c r="E190" s="159"/>
      <c r="F190" s="119"/>
      <c r="G190" s="111" t="s">
        <v>319</v>
      </c>
      <c r="H190" s="112">
        <v>1770000</v>
      </c>
    </row>
    <row r="191" spans="1:8" ht="18.75" customHeight="1">
      <c r="A191" s="191"/>
      <c r="B191" s="191"/>
      <c r="C191" s="191"/>
      <c r="D191" s="159"/>
      <c r="E191" s="159"/>
      <c r="F191" s="119"/>
      <c r="G191" s="111" t="s">
        <v>320</v>
      </c>
      <c r="H191" s="112">
        <v>2396000</v>
      </c>
    </row>
    <row r="192" spans="1:8" ht="18.75" customHeight="1">
      <c r="A192" s="191"/>
      <c r="B192" s="191"/>
      <c r="C192" s="191"/>
      <c r="D192" s="159"/>
      <c r="E192" s="159"/>
      <c r="F192" s="119"/>
      <c r="G192" s="111" t="s">
        <v>322</v>
      </c>
      <c r="H192" s="112">
        <v>188000</v>
      </c>
    </row>
    <row r="193" spans="1:8" ht="18.75" customHeight="1">
      <c r="A193" s="191"/>
      <c r="B193" s="191"/>
      <c r="C193" s="191"/>
      <c r="D193" s="159"/>
      <c r="E193" s="159"/>
      <c r="F193" s="119"/>
      <c r="G193" s="111" t="s">
        <v>321</v>
      </c>
      <c r="H193" s="112">
        <v>780000</v>
      </c>
    </row>
    <row r="194" spans="1:8" ht="18.75" customHeight="1">
      <c r="A194" s="191"/>
      <c r="B194" s="191"/>
      <c r="C194" s="191"/>
      <c r="D194" s="159"/>
      <c r="E194" s="159"/>
      <c r="F194" s="119"/>
      <c r="G194" s="111" t="s">
        <v>323</v>
      </c>
      <c r="H194" s="112">
        <v>220000</v>
      </c>
    </row>
    <row r="195" spans="1:8" ht="18.75" customHeight="1">
      <c r="A195" s="191"/>
      <c r="B195" s="191"/>
      <c r="C195" s="191"/>
      <c r="D195" s="159"/>
      <c r="E195" s="159"/>
      <c r="F195" s="119"/>
      <c r="G195" s="111" t="s">
        <v>324</v>
      </c>
      <c r="H195" s="112">
        <v>450000</v>
      </c>
    </row>
    <row r="196" spans="1:8" ht="18.75" customHeight="1">
      <c r="A196" s="191"/>
      <c r="B196" s="191"/>
      <c r="C196" s="191"/>
      <c r="D196" s="159"/>
      <c r="E196" s="159"/>
      <c r="F196" s="119"/>
      <c r="G196" s="111" t="s">
        <v>325</v>
      </c>
      <c r="H196" s="112">
        <v>364000</v>
      </c>
    </row>
    <row r="197" spans="1:8" ht="18.75" customHeight="1">
      <c r="A197" s="191"/>
      <c r="B197" s="191"/>
      <c r="C197" s="191"/>
      <c r="D197" s="159"/>
      <c r="E197" s="159"/>
      <c r="F197" s="119"/>
      <c r="G197" s="111" t="s">
        <v>326</v>
      </c>
      <c r="H197" s="112">
        <v>380000</v>
      </c>
    </row>
    <row r="198" spans="1:8" ht="18.75" customHeight="1">
      <c r="A198" s="191"/>
      <c r="B198" s="191"/>
      <c r="C198" s="191"/>
      <c r="D198" s="159"/>
      <c r="E198" s="159"/>
      <c r="F198" s="119"/>
      <c r="G198" s="111" t="s">
        <v>327</v>
      </c>
      <c r="H198" s="112">
        <v>753000</v>
      </c>
    </row>
    <row r="199" spans="1:8" ht="18.75" customHeight="1">
      <c r="A199" s="191"/>
      <c r="B199" s="191"/>
      <c r="C199" s="191"/>
      <c r="D199" s="159"/>
      <c r="E199" s="159"/>
      <c r="F199" s="119"/>
      <c r="G199" s="111" t="s">
        <v>328</v>
      </c>
      <c r="H199" s="112">
        <v>275000</v>
      </c>
    </row>
    <row r="200" spans="1:8" ht="18.75" customHeight="1">
      <c r="A200" s="191"/>
      <c r="B200" s="191"/>
      <c r="C200" s="191"/>
      <c r="D200" s="159"/>
      <c r="E200" s="159"/>
      <c r="F200" s="119"/>
      <c r="G200" s="111" t="s">
        <v>329</v>
      </c>
      <c r="H200" s="112">
        <v>110000</v>
      </c>
    </row>
    <row r="201" spans="1:8" ht="18.75" customHeight="1">
      <c r="A201" s="191" t="s">
        <v>14</v>
      </c>
      <c r="B201" s="289" t="s">
        <v>14</v>
      </c>
      <c r="C201" s="290" t="s">
        <v>111</v>
      </c>
      <c r="D201" s="291"/>
      <c r="E201" s="291">
        <v>0</v>
      </c>
      <c r="F201" s="292">
        <f>D201-E201</f>
        <v>0</v>
      </c>
      <c r="G201" s="293"/>
      <c r="H201" s="294"/>
    </row>
    <row r="202" spans="1:8" ht="18.75" customHeight="1">
      <c r="A202" s="348" t="s">
        <v>114</v>
      </c>
      <c r="B202" s="349"/>
      <c r="C202" s="349"/>
      <c r="D202" s="148">
        <f t="shared" ref="D202:F203" si="2">D203</f>
        <v>0</v>
      </c>
      <c r="E202" s="148">
        <f t="shared" si="2"/>
        <v>0</v>
      </c>
      <c r="F202" s="149">
        <f t="shared" si="2"/>
        <v>0</v>
      </c>
      <c r="G202" s="150" t="s">
        <v>14</v>
      </c>
      <c r="H202" s="151"/>
    </row>
    <row r="203" spans="1:8" ht="18.75" customHeight="1">
      <c r="A203" s="352" t="s">
        <v>14</v>
      </c>
      <c r="B203" s="350" t="s">
        <v>115</v>
      </c>
      <c r="C203" s="351"/>
      <c r="D203" s="99">
        <f t="shared" si="2"/>
        <v>0</v>
      </c>
      <c r="E203" s="99">
        <f t="shared" si="2"/>
        <v>0</v>
      </c>
      <c r="F203" s="100">
        <f t="shared" si="2"/>
        <v>0</v>
      </c>
      <c r="G203" s="101" t="s">
        <v>14</v>
      </c>
      <c r="H203" s="102"/>
    </row>
    <row r="204" spans="1:8" ht="18.75" customHeight="1">
      <c r="A204" s="360"/>
      <c r="B204" s="192" t="s">
        <v>14</v>
      </c>
      <c r="C204" s="193" t="s">
        <v>115</v>
      </c>
      <c r="D204" s="194"/>
      <c r="E204" s="194"/>
      <c r="F204" s="195"/>
      <c r="G204" s="196" t="s">
        <v>14</v>
      </c>
      <c r="H204" s="197"/>
    </row>
    <row r="205" spans="1:8" ht="18.75" customHeight="1">
      <c r="A205" s="348" t="s">
        <v>116</v>
      </c>
      <c r="B205" s="349"/>
      <c r="C205" s="349"/>
      <c r="D205" s="94">
        <f t="shared" ref="D205:F206" si="3">D206</f>
        <v>0</v>
      </c>
      <c r="E205" s="94">
        <f t="shared" si="3"/>
        <v>0</v>
      </c>
      <c r="F205" s="95">
        <f t="shared" si="3"/>
        <v>0</v>
      </c>
      <c r="G205" s="182" t="s">
        <v>14</v>
      </c>
      <c r="H205" s="97"/>
    </row>
    <row r="206" spans="1:8" ht="18.75" customHeight="1">
      <c r="A206" s="352" t="s">
        <v>14</v>
      </c>
      <c r="B206" s="350" t="s">
        <v>117</v>
      </c>
      <c r="C206" s="351"/>
      <c r="D206" s="99">
        <f t="shared" si="3"/>
        <v>0</v>
      </c>
      <c r="E206" s="99">
        <f t="shared" si="3"/>
        <v>0</v>
      </c>
      <c r="F206" s="100">
        <f t="shared" si="3"/>
        <v>0</v>
      </c>
      <c r="G206" s="101" t="s">
        <v>14</v>
      </c>
      <c r="H206" s="102"/>
    </row>
    <row r="207" spans="1:8" ht="18.75" customHeight="1">
      <c r="A207" s="356"/>
      <c r="B207" s="166" t="s">
        <v>14</v>
      </c>
      <c r="C207" s="167" t="s">
        <v>117</v>
      </c>
      <c r="D207" s="168">
        <v>0</v>
      </c>
      <c r="E207" s="168">
        <v>0</v>
      </c>
      <c r="F207" s="169">
        <f>D207-E207</f>
        <v>0</v>
      </c>
      <c r="G207" s="170"/>
      <c r="H207" s="171"/>
    </row>
    <row r="208" spans="1:8" ht="18.75" customHeight="1">
      <c r="A208" s="346" t="s">
        <v>118</v>
      </c>
      <c r="B208" s="347"/>
      <c r="C208" s="347"/>
      <c r="D208" s="172">
        <f t="shared" ref="D208:F209" si="4">D209</f>
        <v>0</v>
      </c>
      <c r="E208" s="172">
        <f t="shared" si="4"/>
        <v>0</v>
      </c>
      <c r="F208" s="173">
        <f t="shared" si="4"/>
        <v>0</v>
      </c>
      <c r="G208" s="189" t="s">
        <v>14</v>
      </c>
      <c r="H208" s="190"/>
    </row>
    <row r="209" spans="1:8" ht="18.75" customHeight="1">
      <c r="A209" s="188" t="s">
        <v>14</v>
      </c>
      <c r="B209" s="350" t="s">
        <v>119</v>
      </c>
      <c r="C209" s="351"/>
      <c r="D209" s="99">
        <f t="shared" si="4"/>
        <v>0</v>
      </c>
      <c r="E209" s="99">
        <f t="shared" si="4"/>
        <v>0</v>
      </c>
      <c r="F209" s="100">
        <f t="shared" si="4"/>
        <v>0</v>
      </c>
      <c r="G209" s="101" t="s">
        <v>14</v>
      </c>
      <c r="H209" s="102"/>
    </row>
    <row r="210" spans="1:8" ht="18.75" customHeight="1" thickBot="1">
      <c r="A210" s="198" t="s">
        <v>14</v>
      </c>
      <c r="B210" s="199" t="s">
        <v>14</v>
      </c>
      <c r="C210" s="200" t="s">
        <v>119</v>
      </c>
      <c r="D210" s="201">
        <v>0</v>
      </c>
      <c r="E210" s="201">
        <v>0</v>
      </c>
      <c r="F210" s="202"/>
      <c r="G210" s="203"/>
      <c r="H210" s="204"/>
    </row>
    <row r="211" spans="1:8" ht="18.75" customHeight="1" thickTop="1">
      <c r="A211" s="357" t="s">
        <v>120</v>
      </c>
      <c r="B211" s="358"/>
      <c r="C211" s="359"/>
      <c r="D211" s="205">
        <f>D208+D205+D202+D175+D171+D167+D164+D141+D121+D81+D6</f>
        <v>1604615.4</v>
      </c>
      <c r="E211" s="205">
        <f>E208+E205+E202+E175+E171+E167+E164+E141+E121+E81+E6</f>
        <v>1456428</v>
      </c>
      <c r="F211" s="206">
        <f>F208+F205+F202+F175+F171+F167+F164+F141+F121+F81+F6</f>
        <v>148187.4</v>
      </c>
      <c r="G211" s="207" t="s">
        <v>14</v>
      </c>
      <c r="H211" s="208"/>
    </row>
    <row r="213" spans="1:8" ht="18.75" customHeight="1">
      <c r="F213" s="89"/>
    </row>
  </sheetData>
  <mergeCells count="50">
    <mergeCell ref="B49:C49"/>
    <mergeCell ref="B29:C29"/>
    <mergeCell ref="A4:C4"/>
    <mergeCell ref="A6:C6"/>
    <mergeCell ref="B7:C7"/>
    <mergeCell ref="B8:B28"/>
    <mergeCell ref="B117:C117"/>
    <mergeCell ref="A122:A125"/>
    <mergeCell ref="B122:C122"/>
    <mergeCell ref="B123:B125"/>
    <mergeCell ref="A81:C81"/>
    <mergeCell ref="B118:B119"/>
    <mergeCell ref="B82:C82"/>
    <mergeCell ref="A130:A135"/>
    <mergeCell ref="B130:B135"/>
    <mergeCell ref="A121:C121"/>
    <mergeCell ref="A136:A138"/>
    <mergeCell ref="B136:B138"/>
    <mergeCell ref="A126:A129"/>
    <mergeCell ref="B126:B129"/>
    <mergeCell ref="A164:C164"/>
    <mergeCell ref="A165:A166"/>
    <mergeCell ref="B165:C165"/>
    <mergeCell ref="B156:C156"/>
    <mergeCell ref="A139:A140"/>
    <mergeCell ref="B139:B140"/>
    <mergeCell ref="A141:C141"/>
    <mergeCell ref="B142:C142"/>
    <mergeCell ref="A211:C211"/>
    <mergeCell ref="A203:A204"/>
    <mergeCell ref="B203:C203"/>
    <mergeCell ref="A205:C205"/>
    <mergeCell ref="A206:A207"/>
    <mergeCell ref="B206:C206"/>
    <mergeCell ref="G4:H5"/>
    <mergeCell ref="A1:H1"/>
    <mergeCell ref="A208:C208"/>
    <mergeCell ref="A202:C202"/>
    <mergeCell ref="B209:C209"/>
    <mergeCell ref="A175:C175"/>
    <mergeCell ref="A176:A177"/>
    <mergeCell ref="B176:C176"/>
    <mergeCell ref="A178:A184"/>
    <mergeCell ref="B183:C183"/>
    <mergeCell ref="A167:C167"/>
    <mergeCell ref="A168:A170"/>
    <mergeCell ref="B168:C168"/>
    <mergeCell ref="A171:C171"/>
    <mergeCell ref="A172:A174"/>
    <mergeCell ref="B172:C172"/>
  </mergeCells>
  <phoneticPr fontId="2" type="noConversion"/>
  <printOptions horizontalCentered="1"/>
  <pageMargins left="0.39370078740157483" right="0.39370078740157483" top="0.98425196850393704" bottom="0.59055118110236227" header="0.31496062992125984" footer="0.23622047244094491"/>
  <pageSetup paperSize="9" scale="67" fitToHeight="0" orientation="portrait" r:id="rId1"/>
  <headerFooter alignWithMargins="0"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총칙</vt:lpstr>
      <vt:lpstr>총괄표</vt:lpstr>
      <vt:lpstr>세입</vt:lpstr>
      <vt:lpstr>세출</vt:lpstr>
      <vt:lpstr>세입!Print_Area</vt:lpstr>
      <vt:lpstr>세출!Print_Area</vt:lpstr>
      <vt:lpstr>총괄표!Print_Area</vt:lpstr>
      <vt:lpstr>총칙!Print_Area</vt:lpstr>
      <vt:lpstr>세입!Print_Titles</vt:lpstr>
      <vt:lpstr>세출!Print_Titles</vt:lpstr>
    </vt:vector>
  </TitlesOfParts>
  <Company>여천고등학교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2001년 학교회계 예산서</dc:title>
  <dc:creator>행정실</dc:creator>
  <cp:lastModifiedBy>user</cp:lastModifiedBy>
  <cp:lastPrinted>2020-02-19T12:49:47Z</cp:lastPrinted>
  <dcterms:created xsi:type="dcterms:W3CDTF">2000-12-01T23:43:26Z</dcterms:created>
  <dcterms:modified xsi:type="dcterms:W3CDTF">2020-02-19T13:00:19Z</dcterms:modified>
</cp:coreProperties>
</file>