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예산관리\2020학년도\"/>
    </mc:Choice>
  </mc:AlternateContent>
  <bookViews>
    <workbookView xWindow="240" yWindow="300" windowWidth="11400" windowHeight="6285" tabRatio="641"/>
  </bookViews>
  <sheets>
    <sheet name="표지" sheetId="24" r:id="rId1"/>
    <sheet name="총칙" sheetId="25" r:id="rId2"/>
    <sheet name="총괄표" sheetId="30" r:id="rId3"/>
    <sheet name="세입" sheetId="28" r:id="rId4"/>
    <sheet name="세출" sheetId="29" r:id="rId5"/>
  </sheets>
  <definedNames>
    <definedName name="_xlnm.Print_Area" localSheetId="3">세입!$A$1:$H$78</definedName>
    <definedName name="_xlnm.Print_Area" localSheetId="2">총괄표!$A$1:$E$19</definedName>
    <definedName name="_xlnm.Print_Area" localSheetId="1">총칙!$A$1:$B$23</definedName>
    <definedName name="_xlnm.Print_Titles" localSheetId="3">세입!$3:$5</definedName>
    <definedName name="_xlnm.Print_Titles" localSheetId="4">세출!$3:$5</definedName>
    <definedName name="Z_68F178D3_0354_11D6_9F0E_00C02659FFE6_.wvu.PrintTitles" localSheetId="3" hidden="1">세입!$4:$6</definedName>
    <definedName name="Z_68F178D3_0354_11D6_9F0E_00C02659FFE6_.wvu.PrintTitles" localSheetId="4" hidden="1">세출!#REF!</definedName>
  </definedNames>
  <calcPr calcId="162913"/>
  <customWorkbookViews>
    <customWorkbookView name="이수미 - 기본 보기" guid="{68F178D3-0354-11D6-9F0E-00C02659FFE6}" mergeInterval="0" personalView="1" maximized="1" windowWidth="1020" windowHeight="582" tabRatio="867" activeSheetId="5"/>
    <customWorkbookView name="행정실장 - 기본 보기" guid="{CBC79894-0354-11D6-9F0C-00C02659F78A}" mergeInterval="0" personalView="1" maximized="1" windowWidth="1020" windowHeight="585" tabRatio="867" activeSheetId="1"/>
  </customWorkbookViews>
</workbook>
</file>

<file path=xl/calcChain.xml><?xml version="1.0" encoding="utf-8"?>
<calcChain xmlns="http://schemas.openxmlformats.org/spreadsheetml/2006/main">
  <c r="F205" i="29" l="1"/>
  <c r="F190" i="29"/>
  <c r="E18" i="30"/>
  <c r="E17" i="30"/>
  <c r="E16" i="30"/>
  <c r="E15" i="30"/>
  <c r="E14" i="30"/>
  <c r="E13" i="30"/>
  <c r="E12" i="30"/>
  <c r="E8" i="30"/>
  <c r="B8" i="30"/>
  <c r="D8" i="30"/>
  <c r="C16" i="30"/>
  <c r="C15" i="30"/>
  <c r="C14" i="30"/>
  <c r="C13" i="30"/>
  <c r="C12" i="30"/>
  <c r="E19" i="30" l="1"/>
  <c r="C19" i="30"/>
  <c r="H165" i="29" l="1"/>
  <c r="H164" i="29"/>
  <c r="H163" i="29"/>
  <c r="H162" i="29"/>
  <c r="H161" i="29"/>
  <c r="H160" i="29"/>
  <c r="F79" i="28" l="1"/>
  <c r="F35" i="28"/>
  <c r="E7" i="28" l="1"/>
  <c r="H65" i="28"/>
  <c r="D65" i="28" s="1"/>
  <c r="D77" i="28"/>
  <c r="H60" i="28"/>
  <c r="D60" i="28" s="1"/>
  <c r="H50" i="28"/>
  <c r="H49" i="28"/>
  <c r="H48" i="28"/>
  <c r="H47" i="28"/>
  <c r="H44" i="28"/>
  <c r="D44" i="28" s="1"/>
  <c r="H35" i="28"/>
  <c r="D35" i="28" s="1"/>
  <c r="H42" i="28"/>
  <c r="D42" i="28" s="1"/>
  <c r="H41" i="28"/>
  <c r="D41" i="28" s="1"/>
  <c r="H39" i="28"/>
  <c r="D39" i="28" s="1"/>
  <c r="H38" i="28"/>
  <c r="D38" i="28" s="1"/>
  <c r="H36" i="28"/>
  <c r="D36" i="28" s="1"/>
  <c r="D34" i="28" s="1"/>
  <c r="H33" i="28"/>
  <c r="H32" i="28"/>
  <c r="H31" i="28"/>
  <c r="H30" i="28"/>
  <c r="H29" i="28"/>
  <c r="D29" i="28" s="1"/>
  <c r="H24" i="28"/>
  <c r="H22" i="28"/>
  <c r="D22" i="28" s="1"/>
  <c r="H26" i="28"/>
  <c r="D26" i="28" s="1"/>
  <c r="E10" i="28"/>
  <c r="E9" i="28" s="1"/>
  <c r="E6" i="28" s="1"/>
  <c r="H10" i="28"/>
  <c r="D10" i="28" s="1"/>
  <c r="D9" i="28" s="1"/>
  <c r="H8" i="28"/>
  <c r="D8" i="28" s="1"/>
  <c r="D7" i="28" s="1"/>
  <c r="E74" i="28"/>
  <c r="E73" i="28" s="1"/>
  <c r="E71" i="28"/>
  <c r="E70" i="28" s="1"/>
  <c r="E68" i="28"/>
  <c r="E67" i="28" s="1"/>
  <c r="E59" i="28"/>
  <c r="E58" i="28" s="1"/>
  <c r="E56" i="28"/>
  <c r="E55" i="28" s="1"/>
  <c r="E52" i="28"/>
  <c r="E51" i="28" s="1"/>
  <c r="E46" i="28"/>
  <c r="E45" i="28" s="1"/>
  <c r="E40" i="28"/>
  <c r="E37" i="28"/>
  <c r="E34" i="28"/>
  <c r="E28" i="28"/>
  <c r="E20" i="28"/>
  <c r="E16" i="28"/>
  <c r="E12" i="28"/>
  <c r="H173" i="29"/>
  <c r="D173" i="29" s="1"/>
  <c r="E154" i="29"/>
  <c r="H155" i="29"/>
  <c r="H99" i="29"/>
  <c r="E95" i="29"/>
  <c r="H175" i="29"/>
  <c r="D175" i="29" s="1"/>
  <c r="H172" i="29"/>
  <c r="H171" i="29"/>
  <c r="H169" i="29"/>
  <c r="D169" i="29" s="1"/>
  <c r="H159" i="29"/>
  <c r="H167" i="29"/>
  <c r="H166" i="29"/>
  <c r="H154" i="29"/>
  <c r="H153" i="29"/>
  <c r="H152" i="29"/>
  <c r="H148" i="29"/>
  <c r="H146" i="29"/>
  <c r="H141" i="29"/>
  <c r="H140" i="29"/>
  <c r="D137" i="29"/>
  <c r="H193" i="29"/>
  <c r="H192" i="29"/>
  <c r="H191" i="29"/>
  <c r="H190" i="29"/>
  <c r="H134" i="29"/>
  <c r="D134" i="29" s="1"/>
  <c r="H132" i="29"/>
  <c r="H131" i="29"/>
  <c r="H130" i="29"/>
  <c r="H128" i="29"/>
  <c r="D128" i="29" s="1"/>
  <c r="F128" i="29" s="1"/>
  <c r="H127" i="29"/>
  <c r="H126" i="29"/>
  <c r="H125" i="29"/>
  <c r="H124" i="29"/>
  <c r="H123" i="29"/>
  <c r="H122" i="29"/>
  <c r="H121" i="29"/>
  <c r="H119" i="29"/>
  <c r="H118" i="29"/>
  <c r="H117" i="29"/>
  <c r="H113" i="29"/>
  <c r="H112" i="29"/>
  <c r="H111" i="29"/>
  <c r="H110" i="29"/>
  <c r="H109" i="29"/>
  <c r="H108" i="29"/>
  <c r="H107" i="29"/>
  <c r="H106" i="29"/>
  <c r="H105" i="29"/>
  <c r="H104" i="29"/>
  <c r="H102" i="29"/>
  <c r="H101" i="29"/>
  <c r="H98" i="29"/>
  <c r="H97" i="29"/>
  <c r="H96" i="29"/>
  <c r="H95" i="29"/>
  <c r="H37" i="29"/>
  <c r="H92" i="29"/>
  <c r="H91" i="29"/>
  <c r="H90" i="29"/>
  <c r="H89" i="29"/>
  <c r="H88" i="29"/>
  <c r="H86" i="29"/>
  <c r="H85" i="29"/>
  <c r="H84" i="29"/>
  <c r="H83" i="29"/>
  <c r="H82" i="29"/>
  <c r="H81" i="29"/>
  <c r="H80" i="29"/>
  <c r="H78" i="29"/>
  <c r="H77" i="29"/>
  <c r="H76" i="29"/>
  <c r="H40" i="29"/>
  <c r="H41" i="29"/>
  <c r="H38" i="29"/>
  <c r="H36" i="29"/>
  <c r="H35" i="29"/>
  <c r="H70" i="29"/>
  <c r="H45" i="29"/>
  <c r="H44" i="29"/>
  <c r="H43" i="29"/>
  <c r="H42" i="29"/>
  <c r="H67" i="29"/>
  <c r="H75" i="29"/>
  <c r="H74" i="29"/>
  <c r="H73" i="29"/>
  <c r="H72" i="29"/>
  <c r="H71" i="29"/>
  <c r="H69" i="29"/>
  <c r="H68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2" i="29"/>
  <c r="H53" i="29"/>
  <c r="H51" i="29"/>
  <c r="H50" i="29"/>
  <c r="H49" i="29"/>
  <c r="H48" i="29"/>
  <c r="H34" i="29"/>
  <c r="H33" i="29"/>
  <c r="H32" i="29"/>
  <c r="H31" i="29"/>
  <c r="H30" i="29"/>
  <c r="H47" i="29"/>
  <c r="H29" i="29"/>
  <c r="H28" i="29"/>
  <c r="H26" i="29"/>
  <c r="H25" i="29"/>
  <c r="H24" i="29"/>
  <c r="H23" i="29"/>
  <c r="H16" i="29"/>
  <c r="H22" i="29"/>
  <c r="H21" i="29"/>
  <c r="H20" i="29"/>
  <c r="H19" i="29"/>
  <c r="H18" i="29"/>
  <c r="D47" i="28" l="1"/>
  <c r="D20" i="28"/>
  <c r="D37" i="28"/>
  <c r="D40" i="28"/>
  <c r="D59" i="28"/>
  <c r="D30" i="28"/>
  <c r="D28" i="28" s="1"/>
  <c r="D27" i="28" s="1"/>
  <c r="E27" i="28"/>
  <c r="D154" i="29"/>
  <c r="D95" i="29"/>
  <c r="D105" i="29"/>
  <c r="F105" i="29" s="1"/>
  <c r="D170" i="29"/>
  <c r="D158" i="29"/>
  <c r="D159" i="29"/>
  <c r="D144" i="29"/>
  <c r="D152" i="29"/>
  <c r="D140" i="29"/>
  <c r="D126" i="29"/>
  <c r="F126" i="29" s="1"/>
  <c r="D190" i="29"/>
  <c r="D122" i="29"/>
  <c r="D130" i="29"/>
  <c r="D47" i="29"/>
  <c r="D42" i="29"/>
  <c r="D28" i="29"/>
  <c r="F28" i="29" s="1"/>
  <c r="D36" i="29"/>
  <c r="F36" i="29" s="1"/>
  <c r="D31" i="29"/>
  <c r="F31" i="29" s="1"/>
  <c r="D23" i="29"/>
  <c r="D17" i="29"/>
  <c r="E78" i="28" l="1"/>
  <c r="E80" i="28" s="1"/>
  <c r="H15" i="29" l="1"/>
  <c r="H14" i="29"/>
  <c r="H13" i="29"/>
  <c r="H12" i="29"/>
  <c r="H11" i="29"/>
  <c r="H10" i="29"/>
  <c r="H9" i="29"/>
  <c r="H8" i="29"/>
  <c r="D11" i="29" l="1"/>
  <c r="D8" i="29"/>
  <c r="E204" i="29"/>
  <c r="E203" i="29" s="1"/>
  <c r="E201" i="29"/>
  <c r="E200" i="29" s="1"/>
  <c r="E198" i="29"/>
  <c r="E197" i="29" s="1"/>
  <c r="E194" i="29"/>
  <c r="E188" i="29"/>
  <c r="E184" i="29"/>
  <c r="E183" i="29" s="1"/>
  <c r="E180" i="29"/>
  <c r="E179" i="29" s="1"/>
  <c r="E177" i="29"/>
  <c r="E176" i="29" s="1"/>
  <c r="E168" i="29"/>
  <c r="E157" i="29"/>
  <c r="E136" i="29"/>
  <c r="E135" i="29" s="1"/>
  <c r="E129" i="29"/>
  <c r="E94" i="29"/>
  <c r="E46" i="29"/>
  <c r="E27" i="29"/>
  <c r="E7" i="29"/>
  <c r="D27" i="29"/>
  <c r="D46" i="29"/>
  <c r="D94" i="29"/>
  <c r="D129" i="29"/>
  <c r="D136" i="29"/>
  <c r="D135" i="29" s="1"/>
  <c r="D157" i="29"/>
  <c r="D168" i="29"/>
  <c r="D177" i="29"/>
  <c r="D176" i="29" s="1"/>
  <c r="D180" i="29"/>
  <c r="D179" i="29" s="1"/>
  <c r="D184" i="29"/>
  <c r="D183" i="29" s="1"/>
  <c r="D188" i="29"/>
  <c r="D194" i="29"/>
  <c r="D198" i="29"/>
  <c r="D197" i="29" s="1"/>
  <c r="D201" i="29"/>
  <c r="D200" i="29" s="1"/>
  <c r="D204" i="29"/>
  <c r="D203" i="29" s="1"/>
  <c r="E93" i="29" l="1"/>
  <c r="D7" i="29"/>
  <c r="D6" i="29" s="1"/>
  <c r="E187" i="29"/>
  <c r="D187" i="29"/>
  <c r="E156" i="29"/>
  <c r="D93" i="29"/>
  <c r="D156" i="29"/>
  <c r="E6" i="29"/>
  <c r="D206" i="29" l="1"/>
  <c r="E206" i="29"/>
  <c r="F134" i="29"/>
  <c r="F8" i="29"/>
  <c r="F11" i="29"/>
  <c r="F44" i="28"/>
  <c r="F204" i="29"/>
  <c r="F203" i="29" s="1"/>
  <c r="F202" i="29"/>
  <c r="F201" i="29" s="1"/>
  <c r="F200" i="29" s="1"/>
  <c r="F198" i="29"/>
  <c r="F197" i="29" s="1"/>
  <c r="F196" i="29"/>
  <c r="F195" i="29"/>
  <c r="F189" i="29"/>
  <c r="F188" i="29" s="1"/>
  <c r="F184" i="29"/>
  <c r="F183" i="29" s="1"/>
  <c r="F180" i="29"/>
  <c r="F179" i="29" s="1"/>
  <c r="F177" i="29"/>
  <c r="F176" i="29" s="1"/>
  <c r="F175" i="29"/>
  <c r="F174" i="29"/>
  <c r="F173" i="29"/>
  <c r="F170" i="29"/>
  <c r="F169" i="29"/>
  <c r="F159" i="29"/>
  <c r="F157" i="29" s="1"/>
  <c r="F154" i="29"/>
  <c r="F152" i="29"/>
  <c r="F144" i="29"/>
  <c r="F140" i="29"/>
  <c r="F137" i="29"/>
  <c r="F130" i="29"/>
  <c r="F129" i="29" s="1"/>
  <c r="F127" i="29"/>
  <c r="F122" i="29"/>
  <c r="F95" i="29"/>
  <c r="F47" i="29"/>
  <c r="F46" i="29" s="1"/>
  <c r="F42" i="29"/>
  <c r="F23" i="29"/>
  <c r="F17" i="29"/>
  <c r="F77" i="28"/>
  <c r="F76" i="28"/>
  <c r="F75" i="28"/>
  <c r="D74" i="28"/>
  <c r="D73" i="28" s="1"/>
  <c r="F72" i="28"/>
  <c r="F71" i="28"/>
  <c r="F70" i="28" s="1"/>
  <c r="D71" i="28"/>
  <c r="D70" i="28" s="1"/>
  <c r="F69" i="28"/>
  <c r="F68" i="28" s="1"/>
  <c r="F67" i="28" s="1"/>
  <c r="D68" i="28"/>
  <c r="D67" i="28" s="1"/>
  <c r="F66" i="28"/>
  <c r="F65" i="28"/>
  <c r="F64" i="28"/>
  <c r="F60" i="28"/>
  <c r="D58" i="28"/>
  <c r="F57" i="28"/>
  <c r="F56" i="28" s="1"/>
  <c r="F55" i="28" s="1"/>
  <c r="D56" i="28"/>
  <c r="D55" i="28" s="1"/>
  <c r="F54" i="28"/>
  <c r="F53" i="28"/>
  <c r="F52" i="28" s="1"/>
  <c r="F51" i="28" s="1"/>
  <c r="D52" i="28"/>
  <c r="D51" i="28" s="1"/>
  <c r="F50" i="28"/>
  <c r="F49" i="28"/>
  <c r="F48" i="28"/>
  <c r="F47" i="28"/>
  <c r="D46" i="28"/>
  <c r="D45" i="28" s="1"/>
  <c r="F43" i="28"/>
  <c r="F42" i="28"/>
  <c r="F41" i="28"/>
  <c r="F39" i="28"/>
  <c r="F38" i="28"/>
  <c r="F36" i="28"/>
  <c r="F34" i="28" s="1"/>
  <c r="F30" i="28"/>
  <c r="F29" i="28"/>
  <c r="F28" i="28" s="1"/>
  <c r="F26" i="28"/>
  <c r="F22" i="28"/>
  <c r="F21" i="28"/>
  <c r="F18" i="28"/>
  <c r="F16" i="28" s="1"/>
  <c r="D16" i="28"/>
  <c r="F15" i="28"/>
  <c r="F14" i="28"/>
  <c r="F13" i="28"/>
  <c r="D12" i="28"/>
  <c r="F10" i="28"/>
  <c r="F9" i="28" s="1"/>
  <c r="F8" i="28"/>
  <c r="F7" i="28" s="1"/>
  <c r="F74" i="28" l="1"/>
  <c r="F73" i="28" s="1"/>
  <c r="F37" i="28"/>
  <c r="D6" i="28"/>
  <c r="F46" i="28"/>
  <c r="F45" i="28" s="1"/>
  <c r="D78" i="28"/>
  <c r="F40" i="28"/>
  <c r="F27" i="28" s="1"/>
  <c r="F12" i="28"/>
  <c r="F20" i="28"/>
  <c r="F6" i="28" s="1"/>
  <c r="F59" i="28"/>
  <c r="F58" i="28" s="1"/>
  <c r="F136" i="29"/>
  <c r="F135" i="29" s="1"/>
  <c r="F194" i="29"/>
  <c r="F187" i="29" s="1"/>
  <c r="F27" i="29"/>
  <c r="F7" i="29"/>
  <c r="F94" i="29"/>
  <c r="F93" i="29" s="1"/>
  <c r="F168" i="29"/>
  <c r="F156" i="29" s="1"/>
  <c r="D80" i="28" l="1"/>
  <c r="F78" i="28"/>
  <c r="F80" i="28" s="1"/>
  <c r="F6" i="29"/>
  <c r="F206" i="29" s="1"/>
</calcChain>
</file>

<file path=xl/sharedStrings.xml><?xml version="1.0" encoding="utf-8"?>
<sst xmlns="http://schemas.openxmlformats.org/spreadsheetml/2006/main" count="591" uniqueCount="367">
  <si>
    <t>관</t>
  </si>
  <si>
    <t>항</t>
  </si>
  <si>
    <t>목</t>
  </si>
  <si>
    <t>예    산    총    칙</t>
    <phoneticPr fontId="4" type="noConversion"/>
  </si>
  <si>
    <t xml:space="preserve"> 광 양 제 철 유 치 원</t>
    <phoneticPr fontId="4" type="noConversion"/>
  </si>
  <si>
    <t>광양제철유치원 세입·세출 예산서</t>
    <phoneticPr fontId="4" type="noConversion"/>
  </si>
  <si>
    <t xml:space="preserve">   </t>
    <phoneticPr fontId="4" type="noConversion"/>
  </si>
  <si>
    <t>(단위: 천원)</t>
    <phoneticPr fontId="7" type="noConversion"/>
  </si>
  <si>
    <t>과목</t>
  </si>
  <si>
    <t>예산액</t>
  </si>
  <si>
    <t>비교증감</t>
    <phoneticPr fontId="7" type="noConversion"/>
  </si>
  <si>
    <t>산출기초(원)</t>
  </si>
  <si>
    <t>(A)</t>
    <phoneticPr fontId="7" type="noConversion"/>
  </si>
  <si>
    <t>(B)</t>
  </si>
  <si>
    <t>(A-B)</t>
  </si>
  <si>
    <t>1. 보조금및지원금</t>
  </si>
  <si>
    <t xml:space="preserve">  </t>
  </si>
  <si>
    <t>1. 공통과정지원금</t>
  </si>
  <si>
    <t>2. 방과후과정운영보조금</t>
  </si>
  <si>
    <t>1. 방과후과정운영보조금</t>
  </si>
  <si>
    <t>3. 인건비보조금</t>
  </si>
  <si>
    <t>1. 국가보조금</t>
  </si>
  <si>
    <t>2. 지방자치단체보조금</t>
  </si>
  <si>
    <t>3. 교육청보조금</t>
  </si>
  <si>
    <t>4. 자본보조금</t>
  </si>
  <si>
    <t>5. 일반운영보조금</t>
  </si>
  <si>
    <t xml:space="preserve">  </t>
    <phoneticPr fontId="7" type="noConversion"/>
  </si>
  <si>
    <t>2. 수익자부담수입</t>
  </si>
  <si>
    <t>1. 교육비</t>
  </si>
  <si>
    <t>1. 입학금</t>
  </si>
  <si>
    <t>2. 일반교육과정비</t>
  </si>
  <si>
    <t>2. 방과후과정비</t>
  </si>
  <si>
    <t>1. 방과후교육ㆍ돌봄비</t>
  </si>
  <si>
    <t>2. 방과후특성화비</t>
  </si>
  <si>
    <t>3. 급식비ㆍ간식비</t>
  </si>
  <si>
    <t>1. 일반급식비ㆍ간식비</t>
  </si>
  <si>
    <t>2. 특별급식비ㆍ간식비</t>
  </si>
  <si>
    <t>4. 그밖의수익자부담수입</t>
  </si>
  <si>
    <t>1. 현장체험학습비</t>
  </si>
  <si>
    <t>2. 통학차량이용비</t>
  </si>
  <si>
    <t>3. 졸업앨범비</t>
  </si>
  <si>
    <t>4. 그밖의교육활동수익자부담수입</t>
  </si>
  <si>
    <t>3. 설치ㆍ경영자이전수입</t>
  </si>
  <si>
    <t>1. 설치ㆍ경영자이전수입</t>
  </si>
  <si>
    <t>4. 차입금</t>
  </si>
  <si>
    <t>1. 차입금</t>
  </si>
  <si>
    <t>1. 단기차입금</t>
  </si>
  <si>
    <t>2. 장기차입금</t>
  </si>
  <si>
    <t>5. 적립금이전수입</t>
  </si>
  <si>
    <t>1. 적립금이전수입</t>
  </si>
  <si>
    <t>6. 잡수입금</t>
  </si>
  <si>
    <t>1. 잡수입금</t>
  </si>
  <si>
    <t>1. 이자수입</t>
  </si>
  <si>
    <t>2. 잡수입</t>
    <phoneticPr fontId="7" type="noConversion"/>
  </si>
  <si>
    <t>3. 행정활동수입</t>
    <phoneticPr fontId="7" type="noConversion"/>
  </si>
  <si>
    <t>7. 기부ㆍ후원금수입</t>
  </si>
  <si>
    <t>1. 기부ㆍ후원금수입</t>
  </si>
  <si>
    <t>8. 지연수납수입</t>
  </si>
  <si>
    <t>1. 지연수납수입</t>
  </si>
  <si>
    <t>9. 전년도이월액</t>
  </si>
  <si>
    <t>1. 전년도이월액</t>
  </si>
  <si>
    <t>1. 이월사업비</t>
  </si>
  <si>
    <t>2. 정산대상재원사용잔액</t>
  </si>
  <si>
    <t>3. 순세계잉여금</t>
  </si>
  <si>
    <t>세 입 합 계</t>
  </si>
  <si>
    <t>과 목</t>
  </si>
  <si>
    <t>산출기초(원)</t>
    <phoneticPr fontId="8" type="noConversion"/>
  </si>
  <si>
    <t>1. 인건비</t>
  </si>
  <si>
    <t>1. 교원인건비</t>
  </si>
  <si>
    <t>1. 급여</t>
  </si>
  <si>
    <t>2. 수당</t>
  </si>
  <si>
    <t>3. 복리후생비</t>
  </si>
  <si>
    <t>4. 법정부담금</t>
  </si>
  <si>
    <t>2. 직원인건비</t>
  </si>
  <si>
    <t>3. 그밖의인건비</t>
  </si>
  <si>
    <t>1. 그밖의인건비</t>
  </si>
  <si>
    <t>2. 운영비</t>
  </si>
  <si>
    <t>1. 관리운영비</t>
  </si>
  <si>
    <t>1. 수용비</t>
  </si>
  <si>
    <t>2. 수수료및제세공과금</t>
  </si>
  <si>
    <t>3. 연료비</t>
  </si>
  <si>
    <t>4. 여비</t>
  </si>
  <si>
    <t>5. 그밖의관리운영비</t>
  </si>
  <si>
    <t>2. 업무추진비</t>
  </si>
  <si>
    <t>1. 업무추진비</t>
  </si>
  <si>
    <t>2. 직책급업무추진비</t>
  </si>
  <si>
    <t>3. 일반교육활동비</t>
  </si>
  <si>
    <t>1. 일반교육활동비</t>
  </si>
  <si>
    <t>1. 교사연수ㆍ연구비</t>
  </si>
  <si>
    <t>2. 교재ㆍ교구구입비</t>
  </si>
  <si>
    <t>3. 행사비</t>
  </si>
  <si>
    <t>4. 장학금</t>
  </si>
  <si>
    <t>5. 복리비</t>
  </si>
  <si>
    <t>6. 일반급식비․간식비</t>
  </si>
  <si>
    <t>4. 선택적교육활동비</t>
  </si>
  <si>
    <t>1. 방과후교육활동비</t>
  </si>
  <si>
    <t>1. 방과후교육․돌봄비</t>
  </si>
  <si>
    <t>2. 그밖의교육활동비</t>
  </si>
  <si>
    <t>3. 특별급식비․간식비</t>
  </si>
  <si>
    <t>4. 졸업앨범비</t>
  </si>
  <si>
    <t>5. 적립금</t>
  </si>
  <si>
    <t>1. 적립금</t>
  </si>
  <si>
    <t>6. 상환금</t>
  </si>
  <si>
    <t>1. 상환금</t>
  </si>
  <si>
    <t>1. 단기차입금상환금</t>
  </si>
  <si>
    <t>2. 장기차입금상환금</t>
  </si>
  <si>
    <t>7. 반환금</t>
  </si>
  <si>
    <t>1. 반환금</t>
  </si>
  <si>
    <t>1. 보조금반환금</t>
  </si>
  <si>
    <t>2. 수익자반환금</t>
  </si>
  <si>
    <t>8. 시설․설비비</t>
  </si>
  <si>
    <t>1. 시설비</t>
  </si>
  <si>
    <t>1. 신․증축비</t>
  </si>
  <si>
    <t>2. 유지비</t>
  </si>
  <si>
    <t>2. 설비․비품비</t>
  </si>
  <si>
    <t>1. 취득비</t>
  </si>
  <si>
    <t>9. 지연지출금</t>
  </si>
  <si>
    <t>1. 지연지출금</t>
  </si>
  <si>
    <t>10. 잡지출</t>
  </si>
  <si>
    <t>1. 잡지출</t>
  </si>
  <si>
    <t>11. 예비비</t>
  </si>
  <si>
    <t>1. 예비비</t>
  </si>
  <si>
    <t>세 출 합 계</t>
  </si>
  <si>
    <t>(단위: 천원)</t>
    <phoneticPr fontId="8" type="noConversion"/>
  </si>
  <si>
    <t>정근수당  1,474,300원*5명*2회=</t>
    <phoneticPr fontId="8" type="noConversion"/>
  </si>
  <si>
    <t>정근수당가산금  50,800원*5명*12월=</t>
    <phoneticPr fontId="8" type="noConversion"/>
  </si>
  <si>
    <t>봉급  3,361,900원*5명*12월=</t>
    <phoneticPr fontId="8" type="noConversion"/>
  </si>
  <si>
    <t>가족수당  203,000원*12월=</t>
    <phoneticPr fontId="8" type="noConversion"/>
  </si>
  <si>
    <t>관리업무수당  401,000원*1명*12월=</t>
    <phoneticPr fontId="8" type="noConversion"/>
  </si>
  <si>
    <t>보전수당  70,000원*1명*12월=</t>
    <phoneticPr fontId="8" type="noConversion"/>
  </si>
  <si>
    <t>시간외수당(정액)  90,200원*4명*12월=</t>
    <phoneticPr fontId="8" type="noConversion"/>
  </si>
  <si>
    <t>시간외수당(일반)  15,000원*4명*12월=</t>
    <phoneticPr fontId="8" type="noConversion"/>
  </si>
  <si>
    <t>직급보조비  200,000원*1명*12월=</t>
    <phoneticPr fontId="8" type="noConversion"/>
  </si>
  <si>
    <t>명절휴가비  1,863,500원*5명*2회=</t>
    <phoneticPr fontId="8" type="noConversion"/>
  </si>
  <si>
    <t>성과상여금  3,983,400원*5명*1회=</t>
    <phoneticPr fontId="8" type="noConversion"/>
  </si>
  <si>
    <t>제철수당  240,550원*3명*12월=</t>
    <phoneticPr fontId="8" type="noConversion"/>
  </si>
  <si>
    <t>대학자녀학비  2,835,000원*1명*2회=</t>
    <phoneticPr fontId="2" type="noConversion"/>
  </si>
  <si>
    <t>개인연금지원금  55,000원*1명*12월=</t>
    <phoneticPr fontId="2" type="noConversion"/>
  </si>
  <si>
    <t>교원연구비  48,000원*5명*12월=</t>
    <phoneticPr fontId="8" type="noConversion"/>
  </si>
  <si>
    <t>사학연금부담금  248,400원*5명*12월=</t>
    <phoneticPr fontId="8" type="noConversion"/>
  </si>
  <si>
    <t>건강보험부담금  100,000원*5명*12월=</t>
    <phoneticPr fontId="8" type="noConversion"/>
  </si>
  <si>
    <t>노인장기요양보험료  10,400원*5명*12월=</t>
    <phoneticPr fontId="8" type="noConversion"/>
  </si>
  <si>
    <t>재해보상부담금  19,200원*5명*12월=</t>
    <phoneticPr fontId="8" type="noConversion"/>
  </si>
  <si>
    <t>봉급  4,617,660원*2명*12월=</t>
    <phoneticPr fontId="2" type="noConversion"/>
  </si>
  <si>
    <t>정근수당 2,332,250원*2명*2회=</t>
    <phoneticPr fontId="2" type="noConversion"/>
  </si>
  <si>
    <t>(교육공무직)봉급  1,824,000원*2명*12월=</t>
    <phoneticPr fontId="8" type="noConversion"/>
  </si>
  <si>
    <t>정근수당가산금  125,000원*2명*12월=</t>
    <phoneticPr fontId="2" type="noConversion"/>
  </si>
  <si>
    <t>가족수당  220,000원*12월=</t>
    <phoneticPr fontId="8" type="noConversion"/>
  </si>
  <si>
    <t>자녀학비보조수당  469,000원*1명*3분기=</t>
    <phoneticPr fontId="8" type="noConversion"/>
  </si>
  <si>
    <t>자녀학비보조수당(법인)  899,000원*1명*3분기=</t>
    <phoneticPr fontId="8" type="noConversion"/>
  </si>
  <si>
    <t>관리업무수당  458,330원*1명*12월=</t>
    <phoneticPr fontId="8" type="noConversion"/>
  </si>
  <si>
    <t>(교육공무직)정액급식비  130,000원*2명*12월=</t>
    <phoneticPr fontId="8" type="noConversion"/>
  </si>
  <si>
    <t>(교육공무직)명절휴가비  500,000원*2명*2회=</t>
    <phoneticPr fontId="8" type="noConversion"/>
  </si>
  <si>
    <t>(교육공무직)연차수당  966,660원*3명=</t>
    <phoneticPr fontId="8" type="noConversion"/>
  </si>
  <si>
    <t>(교육공무직)장기근무가산금  61,250원*2명*12월=</t>
    <phoneticPr fontId="8" type="noConversion"/>
  </si>
  <si>
    <t>(교육공무직)가족수당  100,000원*12월=</t>
    <phoneticPr fontId="8" type="noConversion"/>
  </si>
  <si>
    <t>(교육공무직)시간외수당  24,950원*2명*12월=</t>
    <phoneticPr fontId="8" type="noConversion"/>
  </si>
  <si>
    <t>(교육공무직)성과상여금  450,000원*2명*2회=</t>
    <phoneticPr fontId="8" type="noConversion"/>
  </si>
  <si>
    <t>(기간제교원)급여  2,181,710원*3명*12월=</t>
  </si>
  <si>
    <t>(기간제교원)정근수당가산금  20,000원*12월=</t>
  </si>
  <si>
    <t>(기간제교원)성과상여금  2,356,700원*3명=</t>
  </si>
  <si>
    <t>(기간제교원)가족수당  40,000원*12월=</t>
  </si>
  <si>
    <t>(기간제교원)시간외수당-정액  112,870원*3명*12월=</t>
  </si>
  <si>
    <t>(기간제교원)교원연구비  65,000원*3명*12월=</t>
  </si>
  <si>
    <t>(기간제교원)퇴직부담금  3,733,330원*3명=</t>
  </si>
  <si>
    <t>(기간제교원)국민연금부담금  157,840원*3명*12월=</t>
  </si>
  <si>
    <t>(기간제교원)건강보험부담금  57,590원*3명*12월=</t>
  </si>
  <si>
    <t>(기간제교원)고용보험부담금  46,100원*3명*12월=</t>
  </si>
  <si>
    <t>(기간제교원)산재보험부담금  28,780원*3명*12월=</t>
  </si>
  <si>
    <t>(교육공무직)퇴직부담금  2,550,000원*2명=</t>
  </si>
  <si>
    <t>(교육공무직)국민연금부담금  127,000원*2명*12월=</t>
  </si>
  <si>
    <t>(교육공무직)건강보험부담금  77,000원*2명*12월=</t>
  </si>
  <si>
    <t>(교육공무직)장기요양보험부담금  8,000원*2명*12월=</t>
  </si>
  <si>
    <t>(교육공무직)고용보험부담금  37,000원*2명*12월=</t>
  </si>
  <si>
    <t>(교육공무직)산재보험부담금  23,500원*2명*12월=</t>
  </si>
  <si>
    <t>(기간제교원)정근수당  354,830원*3명*2회=</t>
    <phoneticPr fontId="2" type="noConversion"/>
  </si>
  <si>
    <t>(기간제교원)명절휴가비  1,388,830원*3명*2회=</t>
    <phoneticPr fontId="2" type="noConversion"/>
  </si>
  <si>
    <t>사학연금부담금  674,000원*2명*12월=</t>
  </si>
  <si>
    <t>건강보험부담금  253,000원*2명*12월=</t>
  </si>
  <si>
    <t>장기요양보험부담금  26,000원*2명*12월=</t>
  </si>
  <si>
    <t>재해보상부담금  31,000원*2명*12월=</t>
  </si>
  <si>
    <t>시간외수당(일반)  47,500원*12월=</t>
    <phoneticPr fontId="8" type="noConversion"/>
  </si>
  <si>
    <t>직급보조비  750,000원*12월=</t>
    <phoneticPr fontId="8" type="noConversion"/>
  </si>
  <si>
    <t>명절휴가비  2,827,750원*2명*2회=</t>
    <phoneticPr fontId="2" type="noConversion"/>
  </si>
  <si>
    <t>연가보상비  1,996,500원*2명=</t>
  </si>
  <si>
    <t>성과상여금  4,324,500원*2명=</t>
    <phoneticPr fontId="8" type="noConversion"/>
  </si>
  <si>
    <t>(대체교원)시간외수당-정액  112,870원*1명*12월=</t>
  </si>
  <si>
    <t>(대체교원)명절휴가비  1,358,590원*1명*2회=</t>
  </si>
  <si>
    <t>(대체교원)교원연구비  70,000원*1명*12월=</t>
  </si>
  <si>
    <t>(대체교원)퇴직부담금  3,100,000원*1명=</t>
  </si>
  <si>
    <t>(대체교원)국민연금부담금  139,770원*1명*12월=</t>
  </si>
  <si>
    <t>(대체교원)건강보험부담금  50,850원*1명*12월=</t>
  </si>
  <si>
    <t>(대체교원)장기요양보험부담금  5,210원*1명*12월=</t>
  </si>
  <si>
    <t>(대체교원)고용보험부담금  40,660원*1명*12월=</t>
  </si>
  <si>
    <t>(대체교원)산재보험부담금  25,410원*1명*12월=</t>
  </si>
  <si>
    <t>(대체교원)급여  2,132,590원*1명*12월=</t>
    <phoneticPr fontId="2" type="noConversion"/>
  </si>
  <si>
    <t>(보건강사)급여  2,681,000원*1명*12월=</t>
  </si>
  <si>
    <t>(보건강사)정액급식비  130,000원*1명*12월=</t>
  </si>
  <si>
    <t>(보건강사)퇴직부담금  3,100,000원*1명=</t>
  </si>
  <si>
    <t>(보건강사)국민연금부담금  154,570원*1명*12월=</t>
  </si>
  <si>
    <t>(보건강사)건강보험부담금  56,230원*1명*12월=</t>
  </si>
  <si>
    <t>(보건강사)장기요양보험부담금  5,760원*1명*12월=</t>
  </si>
  <si>
    <t>(보건강사)고용보험부담금  44,960원*1명*12월=</t>
  </si>
  <si>
    <t>(보건강사)산재보험부담금  28,100원*1명*12월=</t>
  </si>
  <si>
    <t>정액급식비 130,000원*2명*12월=</t>
    <phoneticPr fontId="8" type="noConversion"/>
  </si>
  <si>
    <t>(기간제교원)장기요양보험부담금  5,950원*3명*12월=</t>
    <phoneticPr fontId="2" type="noConversion"/>
  </si>
  <si>
    <t>차량운영비(다마스)  25,000원*2회=</t>
  </si>
  <si>
    <t>홈페이지유지보수료  4,000,000원*1년=</t>
  </si>
  <si>
    <t>환경직활동비  26,000원*244일=</t>
  </si>
  <si>
    <t>교직원결핵검사비  6,500원*10명=</t>
    <phoneticPr fontId="2" type="noConversion"/>
  </si>
  <si>
    <t>일반용품비  898,700원*7학급=</t>
    <phoneticPr fontId="2" type="noConversion"/>
  </si>
  <si>
    <t>정기간행물및기타도서인쇄비  500,000원*1년=</t>
    <phoneticPr fontId="2" type="noConversion"/>
  </si>
  <si>
    <t>특근식대  162,500원*4분기=</t>
    <phoneticPr fontId="2" type="noConversion"/>
  </si>
  <si>
    <t>스쿨뱅킹수수료  44,000원*12월=</t>
  </si>
  <si>
    <t>우편료  15,000원*12월=</t>
  </si>
  <si>
    <t>전화료  28,000원*12월=</t>
  </si>
  <si>
    <t>정수기관리비  85,000원*12월=</t>
  </si>
  <si>
    <t>칼라프린터임차료  55,000원*2대*12월=</t>
  </si>
  <si>
    <t>공인인증서발급수수료  4,400원*1년=</t>
    <phoneticPr fontId="2" type="noConversion"/>
  </si>
  <si>
    <t>기타수수료  100,000원*12월=</t>
    <phoneticPr fontId="2" type="noConversion"/>
  </si>
  <si>
    <t>무인경비수수료  110,000원*12월=</t>
    <phoneticPr fontId="2" type="noConversion"/>
  </si>
  <si>
    <t>방역소독비  70,000원*6회=</t>
    <phoneticPr fontId="2" type="noConversion"/>
  </si>
  <si>
    <t>방화관리자회비  50,000원*1년=</t>
    <phoneticPr fontId="2" type="noConversion"/>
  </si>
  <si>
    <t>복사기임차료  110,000원*2대*12월=</t>
    <phoneticPr fontId="2" type="noConversion"/>
  </si>
  <si>
    <t>수도료  120,000원*12월=</t>
    <phoneticPr fontId="2" type="noConversion"/>
  </si>
  <si>
    <t>자동차세(다마스)  30,000원*1회=</t>
    <phoneticPr fontId="2" type="noConversion"/>
  </si>
  <si>
    <t>재산세  2,500,000원*1년=</t>
    <phoneticPr fontId="2" type="noConversion"/>
  </si>
  <si>
    <t>재정보증보험료  50,000원*1년=</t>
    <phoneticPr fontId="2" type="noConversion"/>
  </si>
  <si>
    <t>전기요금  650,000원*12월=</t>
    <phoneticPr fontId="2" type="noConversion"/>
  </si>
  <si>
    <t>종합보험료(다마스)  680,000원*1회=</t>
    <phoneticPr fontId="2" type="noConversion"/>
  </si>
  <si>
    <t>가스요금  60,000원*12월=</t>
    <phoneticPr fontId="2" type="noConversion"/>
  </si>
  <si>
    <t>난방비  220,000원*6월=</t>
    <phoneticPr fontId="2" type="noConversion"/>
  </si>
  <si>
    <t>유틸리티수익자부담금  125,000원*12월=</t>
    <phoneticPr fontId="2" type="noConversion"/>
  </si>
  <si>
    <t>차량유류비(다마스)  25,000원*12월=</t>
    <phoneticPr fontId="2" type="noConversion"/>
  </si>
  <si>
    <t>국내여비  450,000원*12월=</t>
    <phoneticPr fontId="2" type="noConversion"/>
  </si>
  <si>
    <t>현장체험학습인솔여비  380,000원*6회=</t>
    <phoneticPr fontId="2" type="noConversion"/>
  </si>
  <si>
    <t>노인일자리사업  33,000원*4명*9개월=</t>
    <phoneticPr fontId="2" type="noConversion"/>
  </si>
  <si>
    <t>PC및주변장비수선비  70,000원*4분기=</t>
    <phoneticPr fontId="2" type="noConversion"/>
  </si>
  <si>
    <t>일반비품수선비  80,000원*12월=</t>
    <phoneticPr fontId="2" type="noConversion"/>
  </si>
  <si>
    <t>업무협의회(교무)  346,500원*4분기=</t>
    <phoneticPr fontId="2" type="noConversion"/>
  </si>
  <si>
    <t>업무협의회(행정)  231,000원*4분기=</t>
    <phoneticPr fontId="2" type="noConversion"/>
  </si>
  <si>
    <t>유치원운영위원회회의비  20,000원*10명*4회=</t>
    <phoneticPr fontId="2" type="noConversion"/>
  </si>
  <si>
    <t>직책급업무추진비  250,000원*12월=</t>
    <phoneticPr fontId="2" type="noConversion"/>
  </si>
  <si>
    <t>녹화협력작업비  500,000원*12월=</t>
    <phoneticPr fontId="2" type="noConversion"/>
  </si>
  <si>
    <t>소방설비법정안전점검  350,000원*2회=</t>
    <phoneticPr fontId="2" type="noConversion"/>
  </si>
  <si>
    <t>왁스작업및소수리재료비  180,000원*12월=</t>
    <phoneticPr fontId="2" type="noConversion"/>
  </si>
  <si>
    <t>학교건물유지비  1,000,000원*12월=</t>
    <phoneticPr fontId="2" type="noConversion"/>
  </si>
  <si>
    <t>교사연수연구비  200,000원*1년=</t>
    <phoneticPr fontId="2" type="noConversion"/>
  </si>
  <si>
    <t>위탁연수비용  300,000원*1년=</t>
    <phoneticPr fontId="2" type="noConversion"/>
  </si>
  <si>
    <t>집합연수비  1,000,000원*1년=</t>
    <phoneticPr fontId="2" type="noConversion"/>
  </si>
  <si>
    <t>(광양시)교재교구구입지원비  285,710원*7학급=</t>
    <phoneticPr fontId="2" type="noConversion"/>
  </si>
  <si>
    <t>교재교구구입비  450,000원*7학급=</t>
    <phoneticPr fontId="2" type="noConversion"/>
  </si>
  <si>
    <t>도서구입비  1,000,000원*1교=</t>
    <phoneticPr fontId="2" type="noConversion"/>
  </si>
  <si>
    <t>독서토론교육비  400,000원*1년=</t>
    <phoneticPr fontId="2" type="noConversion"/>
  </si>
  <si>
    <t>산타행사비  500,000원*1회=</t>
    <phoneticPr fontId="2" type="noConversion"/>
  </si>
  <si>
    <t>어린이날행사비  500,000원*1회=</t>
    <phoneticPr fontId="2" type="noConversion"/>
  </si>
  <si>
    <t>입학설명회  166,600원*3개학년=</t>
    <phoneticPr fontId="2" type="noConversion"/>
  </si>
  <si>
    <t>입학식및졸업식행사비  1,000,000원*1교=</t>
    <phoneticPr fontId="2" type="noConversion"/>
  </si>
  <si>
    <t>체육행사비  200,000원*7학급=</t>
    <phoneticPr fontId="2" type="noConversion"/>
  </si>
  <si>
    <t>학부모참관수업  1,800,000원*1교=</t>
    <phoneticPr fontId="2" type="noConversion"/>
  </si>
  <si>
    <t>학예회행사비  1,000,000원*1회=</t>
    <phoneticPr fontId="2" type="noConversion"/>
  </si>
  <si>
    <t>상비약품구입비  58,330원*12월=</t>
    <phoneticPr fontId="2" type="noConversion"/>
  </si>
  <si>
    <t>학생안전공제회비  2,300원*153명=</t>
    <phoneticPr fontId="2" type="noConversion"/>
  </si>
  <si>
    <t>(광양시)학교급식지원비  2,000원*152명*214일=</t>
    <phoneticPr fontId="2" type="noConversion"/>
  </si>
  <si>
    <t>교직원급식비  3,500원*17명*214일=</t>
  </si>
  <si>
    <t>교직원급식비  3,500원*17명*214일=</t>
    <phoneticPr fontId="2" type="noConversion"/>
  </si>
  <si>
    <t>유치원생간식비  1,000원*152명*214일=</t>
  </si>
  <si>
    <t>유치원생간식비  1,000원*152명*214일=</t>
    <phoneticPr fontId="2" type="noConversion"/>
  </si>
  <si>
    <t>방과후과정간식비  1,000원*140명*15일*2학기=</t>
    <phoneticPr fontId="2" type="noConversion"/>
  </si>
  <si>
    <t>방과후과정강사비  1,292,390원*7명*12월=</t>
    <phoneticPr fontId="2" type="noConversion"/>
  </si>
  <si>
    <t>방과후과정교재비  1,081,810원*11월=</t>
  </si>
  <si>
    <t>방과후과정급식비  2,000원*140명*15일*2학기=</t>
    <phoneticPr fontId="2" type="noConversion"/>
  </si>
  <si>
    <t>방과후과정보조강사비  22,000원*5명*244일=</t>
    <phoneticPr fontId="2" type="noConversion"/>
  </si>
  <si>
    <t>방과후과정교재비(수익자)  438,180원*11월=</t>
  </si>
  <si>
    <t>방과후지도강사비  9,100,000원*11월=</t>
    <phoneticPr fontId="2" type="noConversion"/>
  </si>
  <si>
    <t>현장체험학습비  14,000원*152명*6회=</t>
    <phoneticPr fontId="2" type="noConversion"/>
  </si>
  <si>
    <t>(수익자)통학버스임차료  20,000원*22명*12월=</t>
    <phoneticPr fontId="2" type="noConversion"/>
  </si>
  <si>
    <t>(광양시)차량비지원  200,000원*12월=</t>
    <phoneticPr fontId="2" type="noConversion"/>
  </si>
  <si>
    <t>통학버스임차료  20,000,000원*1대=</t>
    <phoneticPr fontId="2" type="noConversion"/>
  </si>
  <si>
    <t>(수익자)교재교구구입비  10,000원*152명*12월=</t>
    <phoneticPr fontId="2" type="noConversion"/>
  </si>
  <si>
    <t>예비비 1,000,000원*1년=</t>
    <phoneticPr fontId="2" type="noConversion"/>
  </si>
  <si>
    <t>잡지출  50,000원*12월=</t>
    <phoneticPr fontId="2" type="noConversion"/>
  </si>
  <si>
    <t>5. 수익자부담재원교육활동비</t>
    <phoneticPr fontId="2" type="noConversion"/>
  </si>
  <si>
    <t>2020학년도 광양제철유치원 세출예산 명세서</t>
    <phoneticPr fontId="8" type="noConversion"/>
  </si>
  <si>
    <t>2020학년도 광양제철유치원 세입예산 명세서</t>
    <phoneticPr fontId="7" type="noConversion"/>
  </si>
  <si>
    <t>전년도예산액</t>
    <phoneticPr fontId="7" type="noConversion"/>
  </si>
  <si>
    <t>유아학비지원금(누리과정)  220,000원*152명*12월=</t>
    <phoneticPr fontId="7" type="noConversion"/>
  </si>
  <si>
    <t>유아학비지원금(방과후과정)  70,000원*140명*12월=</t>
    <phoneticPr fontId="7" type="noConversion"/>
  </si>
  <si>
    <t>방과후과정운영비  7,000,000원*1교=</t>
    <phoneticPr fontId="2" type="noConversion"/>
  </si>
  <si>
    <t>학급운영비  400,000원*7학급*12월=</t>
    <phoneticPr fontId="7" type="noConversion"/>
  </si>
  <si>
    <t>무상급식지원비  2,000원*152명*214일=</t>
    <phoneticPr fontId="7" type="noConversion"/>
  </si>
  <si>
    <t>창의력개발학습 및 교구구입지원비  2,000,000원*1교=</t>
    <phoneticPr fontId="2" type="noConversion"/>
  </si>
  <si>
    <t>유아학비학부모부담지원비  20,000원*152명*12월=</t>
    <phoneticPr fontId="2" type="noConversion"/>
  </si>
  <si>
    <t>차량비지원비  2,400,000원*1년=</t>
    <phoneticPr fontId="2" type="noConversion"/>
  </si>
  <si>
    <t>입학금  100,000원*80명=</t>
    <phoneticPr fontId="7" type="noConversion"/>
  </si>
  <si>
    <t>1기분수업료  63,000원*152명*3개월=</t>
    <phoneticPr fontId="7" type="noConversion"/>
  </si>
  <si>
    <t>2기분수업료  63,000원*152명*3개월=</t>
    <phoneticPr fontId="2" type="noConversion"/>
  </si>
  <si>
    <t>3기분수업료  63,000원*152명*3개월=</t>
    <phoneticPr fontId="2" type="noConversion"/>
  </si>
  <si>
    <t>4기분수업료  63,000원*152명*3개월=</t>
    <phoneticPr fontId="2" type="noConversion"/>
  </si>
  <si>
    <t>방과후교육활동비  20,000원*6명*11개월=</t>
    <phoneticPr fontId="7" type="noConversion"/>
  </si>
  <si>
    <t>종일반교육비  81,000원*140명*12월=</t>
    <phoneticPr fontId="2" type="noConversion"/>
  </si>
  <si>
    <t>연금부담금  3,612,000*12월=</t>
    <phoneticPr fontId="7" type="noConversion"/>
  </si>
  <si>
    <t>재해보상부담금  643,000원*12월=</t>
    <phoneticPr fontId="7" type="noConversion"/>
  </si>
  <si>
    <t>건강보험부담금  1,589,000원*12월=</t>
    <phoneticPr fontId="7" type="noConversion"/>
  </si>
  <si>
    <t>학교운영비  21,785,410원*12월=</t>
    <phoneticPr fontId="7" type="noConversion"/>
  </si>
  <si>
    <t>법인세환급금  360,000원*1년=</t>
    <phoneticPr fontId="7" type="noConversion"/>
  </si>
  <si>
    <t>운영자금수입이자(MMT)  90,000원*12월=</t>
    <phoneticPr fontId="7" type="noConversion"/>
  </si>
  <si>
    <t>운영자금수입이자(보통예금)  3,000원*2회=</t>
    <phoneticPr fontId="7" type="noConversion"/>
  </si>
  <si>
    <t>운영자금수입이자(세외)  6,000원*2회=</t>
    <phoneticPr fontId="2" type="noConversion"/>
  </si>
  <si>
    <t>퇴직적립금수입이자  700,000원*1년=</t>
    <phoneticPr fontId="2" type="noConversion"/>
  </si>
  <si>
    <t>순세계잉여금  300,000원*1년=</t>
    <phoneticPr fontId="7" type="noConversion"/>
  </si>
  <si>
    <t>법인카드포인트수입  33,330원*12월=</t>
    <phoneticPr fontId="7" type="noConversion"/>
  </si>
  <si>
    <t>2020학년도</t>
    <phoneticPr fontId="4" type="noConversion"/>
  </si>
  <si>
    <t>제1조</t>
    <phoneticPr fontId="4" type="noConversion"/>
  </si>
  <si>
    <t>제2조</t>
    <phoneticPr fontId="4" type="noConversion"/>
  </si>
  <si>
    <t>2020학년도 계속비 사업은 해당사항 없다.</t>
    <phoneticPr fontId="4" type="noConversion"/>
  </si>
  <si>
    <t>제3조</t>
    <phoneticPr fontId="4" type="noConversion"/>
  </si>
  <si>
    <t>2020학년도 명시이월 사업은 해당사항 없다.</t>
    <phoneticPr fontId="4" type="noConversion"/>
  </si>
  <si>
    <t>제4조</t>
    <phoneticPr fontId="4" type="noConversion"/>
  </si>
  <si>
    <t>2020학년도 광양제철유치원 회계 세입·세출 예산총액은 세입·세출 각각  1,341,688,000원</t>
    <phoneticPr fontId="4" type="noConversion"/>
  </si>
  <si>
    <t>으로 하며 세입·세출의 명세는 "세입·세출예산서"와 같다.</t>
    <phoneticPr fontId="4" type="noConversion"/>
  </si>
  <si>
    <t>교육지원청 또는 지방자치단체로부터 그 용도가 지정되고 소요 전액이 교부된 경비</t>
    <phoneticPr fontId="4" type="noConversion"/>
  </si>
  <si>
    <t xml:space="preserve">또는 수익자부담경비는 추가경정예산의 성립 이전에 사용할 수 있으며, 이는 동일 </t>
    <phoneticPr fontId="4" type="noConversion"/>
  </si>
  <si>
    <t>회계연도내의 차기 추가경정예산에 반영한다.</t>
    <phoneticPr fontId="4" type="noConversion"/>
  </si>
  <si>
    <t>다만,  목적지정 전입금, 보조금, 지원금이 교부된 이후 추가경정예산을 편성하지 못할</t>
    <phoneticPr fontId="4" type="noConversion"/>
  </si>
  <si>
    <t>경우 운영위원회의 심의를 받은 것으로 간주처리 한다.</t>
    <phoneticPr fontId="4" type="noConversion"/>
  </si>
  <si>
    <t>제5조</t>
    <phoneticPr fontId="4" type="noConversion"/>
  </si>
  <si>
    <t xml:space="preserve">다음의 경비에 부족이 생겼을 때에는 비목 상호간 또는 타 비목으로부터 이용할 수 </t>
    <phoneticPr fontId="4" type="noConversion"/>
  </si>
  <si>
    <t>있다.</t>
    <phoneticPr fontId="4" type="noConversion"/>
  </si>
  <si>
    <t>1. 교원 및 사무직원 인건비, 교원연구비, 관리수당</t>
    <phoneticPr fontId="4" type="noConversion"/>
  </si>
  <si>
    <t>2. 비정규직보수, 강사료</t>
    <phoneticPr fontId="4" type="noConversion"/>
  </si>
  <si>
    <t>3. 세금, 공과금, 반환금</t>
    <phoneticPr fontId="4" type="noConversion"/>
  </si>
  <si>
    <t>방과후과정강사부담금  1,292,390원*9%*7명*12월=</t>
    <phoneticPr fontId="2" type="noConversion"/>
  </si>
  <si>
    <t>방과후과정강사퇴직부담금  2,035,420원*7명=</t>
    <phoneticPr fontId="2" type="noConversion"/>
  </si>
  <si>
    <t>세입·세출 예산 총괄</t>
    <phoneticPr fontId="2" type="noConversion"/>
  </si>
  <si>
    <t>회계연도 :</t>
    <phoneticPr fontId="2" type="noConversion"/>
  </si>
  <si>
    <t xml:space="preserve">예산구분 : </t>
    <phoneticPr fontId="2" type="noConversion"/>
  </si>
  <si>
    <t xml:space="preserve">기 관 명 : </t>
    <phoneticPr fontId="2" type="noConversion"/>
  </si>
  <si>
    <t>광양제철유치원</t>
    <phoneticPr fontId="2" type="noConversion"/>
  </si>
  <si>
    <t>(단위 : 천원)</t>
    <phoneticPr fontId="2" type="noConversion"/>
  </si>
  <si>
    <t>예산구분</t>
    <phoneticPr fontId="2" type="noConversion"/>
  </si>
  <si>
    <t>비교증감</t>
    <phoneticPr fontId="2" type="noConversion"/>
  </si>
  <si>
    <t>세    입</t>
    <phoneticPr fontId="2" type="noConversion"/>
  </si>
  <si>
    <t>세    출</t>
    <phoneticPr fontId="2" type="noConversion"/>
  </si>
  <si>
    <t>관</t>
    <phoneticPr fontId="2" type="noConversion"/>
  </si>
  <si>
    <t>금액</t>
    <phoneticPr fontId="2" type="noConversion"/>
  </si>
  <si>
    <t>관</t>
    <phoneticPr fontId="2" type="noConversion"/>
  </si>
  <si>
    <t>금액</t>
    <phoneticPr fontId="2" type="noConversion"/>
  </si>
  <si>
    <t>보조금및지원금</t>
    <phoneticPr fontId="2" type="noConversion"/>
  </si>
  <si>
    <t>인건비</t>
    <phoneticPr fontId="2" type="noConversion"/>
  </si>
  <si>
    <t>수익자부담수입</t>
    <phoneticPr fontId="2" type="noConversion"/>
  </si>
  <si>
    <t>운영비</t>
    <phoneticPr fontId="2" type="noConversion"/>
  </si>
  <si>
    <t>설치·경영자이전수입</t>
    <phoneticPr fontId="2" type="noConversion"/>
  </si>
  <si>
    <t>일반교육활동비</t>
    <phoneticPr fontId="2" type="noConversion"/>
  </si>
  <si>
    <t>잡수입금</t>
    <phoneticPr fontId="2" type="noConversion"/>
  </si>
  <si>
    <t>선택적교육활동비</t>
    <phoneticPr fontId="2" type="noConversion"/>
  </si>
  <si>
    <t>전년도이월금</t>
    <phoneticPr fontId="2" type="noConversion"/>
  </si>
  <si>
    <t>반환금</t>
    <phoneticPr fontId="2" type="noConversion"/>
  </si>
  <si>
    <t>시설·설비비</t>
    <phoneticPr fontId="2" type="noConversion"/>
  </si>
  <si>
    <t>예비비</t>
    <phoneticPr fontId="2" type="noConversion"/>
  </si>
  <si>
    <t>계</t>
    <phoneticPr fontId="2" type="noConversion"/>
  </si>
  <si>
    <t>계</t>
    <phoneticPr fontId="2" type="noConversion"/>
  </si>
  <si>
    <t>2020</t>
    <phoneticPr fontId="2" type="noConversion"/>
  </si>
  <si>
    <t>본예산</t>
    <phoneticPr fontId="2" type="noConversion"/>
  </si>
  <si>
    <t>본예산</t>
    <phoneticPr fontId="2" type="noConversion"/>
  </si>
  <si>
    <t>전년도예산액</t>
    <phoneticPr fontId="2" type="noConversion"/>
  </si>
  <si>
    <t>예산액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</si>
</sst>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;&quot;△&quot;#,##0"/>
    <numFmt numFmtId="177" formatCode="_ * #,##0_ ;_ * \-#,##0_ ;_ * &quot;-&quot;_ ;_ @_ "/>
    <numFmt numFmtId="178" formatCode="_ * #,##0.00_ ;_ * \-#,##0.00_ ;_ * &quot;-&quot;??_ ;_ @_ "/>
    <numFmt numFmtId="179" formatCode="#,##0&quot;원&quot;"/>
    <numFmt numFmtId="180" formatCode="#,##0;\△#,##0"/>
    <numFmt numFmtId="181" formatCode="#,###;\△#,###"/>
  </numFmts>
  <fonts count="27">
    <font>
      <sz val="10"/>
      <name val="바탕"/>
      <family val="1"/>
      <charset val="129"/>
    </font>
    <font>
      <sz val="10"/>
      <name val="바탕"/>
      <family val="1"/>
      <charset val="129"/>
    </font>
    <font>
      <sz val="8"/>
      <name val="바탕"/>
      <family val="1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u/>
      <sz val="16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sz val="2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5" fillId="0" borderId="0"/>
    <xf numFmtId="9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>
      <alignment vertical="center"/>
    </xf>
  </cellStyleXfs>
  <cellXfs count="357">
    <xf numFmtId="0" fontId="0" fillId="0" borderId="0" xfId="0"/>
    <xf numFmtId="0" fontId="9" fillId="0" borderId="0" xfId="0" applyFont="1" applyAlignment="1">
      <alignment horizontal="right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justify" vertical="center" wrapText="1"/>
    </xf>
    <xf numFmtId="0" fontId="11" fillId="0" borderId="22" xfId="0" applyFont="1" applyBorder="1" applyAlignment="1">
      <alignment horizontal="justify" vertical="center" wrapText="1"/>
    </xf>
    <xf numFmtId="0" fontId="11" fillId="0" borderId="19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4" borderId="17" xfId="0" applyFont="1" applyFill="1" applyBorder="1" applyAlignment="1">
      <alignment horizontal="justify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41" fontId="11" fillId="0" borderId="32" xfId="3" applyFont="1" applyBorder="1" applyAlignment="1">
      <alignment vertical="center" wrapText="1"/>
    </xf>
    <xf numFmtId="41" fontId="11" fillId="0" borderId="27" xfId="3" applyFont="1" applyBorder="1" applyAlignment="1">
      <alignment vertical="center" wrapText="1"/>
    </xf>
    <xf numFmtId="41" fontId="11" fillId="0" borderId="4" xfId="3" applyFont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11" fillId="0" borderId="64" xfId="0" applyFont="1" applyBorder="1" applyAlignment="1">
      <alignment horizontal="justify" vertical="center" wrapText="1"/>
    </xf>
    <xf numFmtId="41" fontId="10" fillId="3" borderId="27" xfId="3" applyFont="1" applyFill="1" applyBorder="1" applyAlignment="1">
      <alignment vertical="center" wrapText="1"/>
    </xf>
    <xf numFmtId="41" fontId="11" fillId="4" borderId="31" xfId="3" applyFont="1" applyFill="1" applyBorder="1" applyAlignment="1">
      <alignment vertical="center" wrapText="1"/>
    </xf>
    <xf numFmtId="41" fontId="11" fillId="0" borderId="31" xfId="3" applyFont="1" applyBorder="1" applyAlignment="1">
      <alignment vertical="center" wrapText="1"/>
    </xf>
    <xf numFmtId="41" fontId="10" fillId="3" borderId="31" xfId="3" applyFont="1" applyFill="1" applyBorder="1" applyAlignment="1">
      <alignment vertical="center" wrapText="1"/>
    </xf>
    <xf numFmtId="41" fontId="11" fillId="0" borderId="1" xfId="3" applyFont="1" applyBorder="1" applyAlignment="1">
      <alignment vertical="center" wrapText="1"/>
    </xf>
    <xf numFmtId="41" fontId="11" fillId="0" borderId="6" xfId="3" applyFont="1" applyBorder="1" applyAlignment="1">
      <alignment vertical="center" wrapText="1"/>
    </xf>
    <xf numFmtId="41" fontId="11" fillId="0" borderId="34" xfId="3" applyFont="1" applyBorder="1" applyAlignment="1">
      <alignment vertical="center" wrapText="1"/>
    </xf>
    <xf numFmtId="41" fontId="10" fillId="6" borderId="35" xfId="3" applyFont="1" applyFill="1" applyBorder="1" applyAlignment="1">
      <alignment vertical="center" wrapText="1"/>
    </xf>
    <xf numFmtId="180" fontId="11" fillId="4" borderId="29" xfId="3" applyNumberFormat="1" applyFont="1" applyFill="1" applyBorder="1" applyAlignment="1">
      <alignment vertical="center" wrapText="1"/>
    </xf>
    <xf numFmtId="180" fontId="11" fillId="0" borderId="10" xfId="3" applyNumberFormat="1" applyFont="1" applyBorder="1" applyAlignment="1">
      <alignment vertical="center" wrapText="1"/>
    </xf>
    <xf numFmtId="180" fontId="11" fillId="0" borderId="16" xfId="3" applyNumberFormat="1" applyFont="1" applyBorder="1" applyAlignment="1">
      <alignment vertical="center" wrapText="1"/>
    </xf>
    <xf numFmtId="180" fontId="11" fillId="4" borderId="13" xfId="3" applyNumberFormat="1" applyFont="1" applyFill="1" applyBorder="1" applyAlignment="1">
      <alignment vertical="center" wrapText="1"/>
    </xf>
    <xf numFmtId="180" fontId="11" fillId="0" borderId="13" xfId="3" applyNumberFormat="1" applyFont="1" applyBorder="1" applyAlignment="1">
      <alignment vertical="center" wrapText="1"/>
    </xf>
    <xf numFmtId="180" fontId="11" fillId="0" borderId="15" xfId="3" applyNumberFormat="1" applyFont="1" applyBorder="1" applyAlignment="1">
      <alignment vertical="center" wrapText="1"/>
    </xf>
    <xf numFmtId="180" fontId="10" fillId="3" borderId="13" xfId="3" applyNumberFormat="1" applyFont="1" applyFill="1" applyBorder="1" applyAlignment="1">
      <alignment vertical="center" wrapText="1"/>
    </xf>
    <xf numFmtId="180" fontId="11" fillId="0" borderId="18" xfId="3" applyNumberFormat="1" applyFont="1" applyBorder="1" applyAlignment="1">
      <alignment vertical="center" wrapText="1"/>
    </xf>
    <xf numFmtId="180" fontId="11" fillId="0" borderId="65" xfId="3" applyNumberFormat="1" applyFont="1" applyBorder="1" applyAlignment="1">
      <alignment vertical="center" wrapText="1"/>
    </xf>
    <xf numFmtId="180" fontId="10" fillId="3" borderId="16" xfId="3" applyNumberFormat="1" applyFont="1" applyFill="1" applyBorder="1" applyAlignment="1">
      <alignment vertical="center" wrapText="1"/>
    </xf>
    <xf numFmtId="180" fontId="11" fillId="0" borderId="11" xfId="3" applyNumberFormat="1" applyFont="1" applyBorder="1" applyAlignment="1">
      <alignment vertical="center" wrapText="1"/>
    </xf>
    <xf numFmtId="180" fontId="11" fillId="0" borderId="33" xfId="3" applyNumberFormat="1" applyFont="1" applyBorder="1" applyAlignment="1">
      <alignment vertical="center" wrapText="1"/>
    </xf>
    <xf numFmtId="41" fontId="10" fillId="3" borderId="4" xfId="3" applyFont="1" applyFill="1" applyBorder="1" applyAlignment="1">
      <alignment vertical="center" wrapText="1"/>
    </xf>
    <xf numFmtId="41" fontId="11" fillId="4" borderId="27" xfId="3" applyFont="1" applyFill="1" applyBorder="1" applyAlignment="1">
      <alignment vertical="center" wrapText="1"/>
    </xf>
    <xf numFmtId="180" fontId="11" fillId="4" borderId="16" xfId="3" applyNumberFormat="1" applyFont="1" applyFill="1" applyBorder="1" applyAlignment="1">
      <alignment vertical="center" wrapText="1"/>
    </xf>
    <xf numFmtId="41" fontId="11" fillId="4" borderId="67" xfId="3" applyFont="1" applyFill="1" applyBorder="1" applyAlignment="1">
      <alignment vertical="center" wrapText="1"/>
    </xf>
    <xf numFmtId="41" fontId="11" fillId="0" borderId="68" xfId="3" applyFont="1" applyBorder="1" applyAlignment="1">
      <alignment vertical="center" wrapText="1"/>
    </xf>
    <xf numFmtId="180" fontId="11" fillId="0" borderId="38" xfId="3" applyNumberFormat="1" applyFont="1" applyBorder="1" applyAlignment="1">
      <alignment vertical="center" wrapText="1"/>
    </xf>
    <xf numFmtId="180" fontId="10" fillId="3" borderId="4" xfId="3" applyNumberFormat="1" applyFont="1" applyFill="1" applyBorder="1" applyAlignment="1">
      <alignment vertical="center" wrapText="1"/>
    </xf>
    <xf numFmtId="180" fontId="11" fillId="4" borderId="67" xfId="3" applyNumberFormat="1" applyFont="1" applyFill="1" applyBorder="1" applyAlignment="1">
      <alignment vertical="center" wrapText="1"/>
    </xf>
    <xf numFmtId="0" fontId="11" fillId="3" borderId="70" xfId="0" applyFont="1" applyFill="1" applyBorder="1" applyAlignment="1">
      <alignment horizontal="justify" vertical="center" wrapText="1"/>
    </xf>
    <xf numFmtId="0" fontId="11" fillId="4" borderId="48" xfId="0" applyFont="1" applyFill="1" applyBorder="1" applyAlignment="1">
      <alignment horizontal="justify" vertical="center" wrapText="1"/>
    </xf>
    <xf numFmtId="0" fontId="11" fillId="0" borderId="39" xfId="0" applyFont="1" applyBorder="1" applyAlignment="1">
      <alignment horizontal="justify" vertical="center" wrapText="1"/>
    </xf>
    <xf numFmtId="0" fontId="11" fillId="4" borderId="21" xfId="0" applyFont="1" applyFill="1" applyBorder="1" applyAlignment="1">
      <alignment horizontal="justify" vertical="center" wrapText="1"/>
    </xf>
    <xf numFmtId="0" fontId="11" fillId="0" borderId="71" xfId="0" applyFont="1" applyBorder="1" applyAlignment="1">
      <alignment horizontal="justify" vertical="center" wrapText="1"/>
    </xf>
    <xf numFmtId="0" fontId="11" fillId="3" borderId="21" xfId="0" applyFont="1" applyFill="1" applyBorder="1" applyAlignment="1">
      <alignment horizontal="justify" vertical="center" wrapText="1"/>
    </xf>
    <xf numFmtId="0" fontId="11" fillId="5" borderId="19" xfId="0" applyFont="1" applyFill="1" applyBorder="1" applyAlignment="1">
      <alignment horizontal="justify" vertical="center" wrapText="1"/>
    </xf>
    <xf numFmtId="0" fontId="11" fillId="5" borderId="17" xfId="0" applyFont="1" applyFill="1" applyBorder="1" applyAlignment="1">
      <alignment horizontal="justify" vertical="center" wrapText="1"/>
    </xf>
    <xf numFmtId="0" fontId="11" fillId="3" borderId="17" xfId="0" applyFont="1" applyFill="1" applyBorder="1" applyAlignment="1">
      <alignment horizontal="justify" vertical="center" wrapText="1"/>
    </xf>
    <xf numFmtId="0" fontId="11" fillId="0" borderId="20" xfId="0" quotePrefix="1" applyFont="1" applyBorder="1" applyAlignment="1">
      <alignment horizontal="justify" vertical="center" wrapText="1"/>
    </xf>
    <xf numFmtId="179" fontId="11" fillId="4" borderId="63" xfId="0" applyNumberFormat="1" applyFont="1" applyFill="1" applyBorder="1" applyAlignment="1">
      <alignment horizontal="right" vertical="center" wrapText="1"/>
    </xf>
    <xf numFmtId="179" fontId="11" fillId="0" borderId="59" xfId="0" applyNumberFormat="1" applyFont="1" applyBorder="1" applyAlignment="1">
      <alignment horizontal="right" vertical="center" wrapText="1"/>
    </xf>
    <xf numFmtId="179" fontId="11" fillId="0" borderId="7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179" fontId="11" fillId="3" borderId="75" xfId="0" applyNumberFormat="1" applyFont="1" applyFill="1" applyBorder="1" applyAlignment="1">
      <alignment horizontal="right" vertical="center" wrapText="1"/>
    </xf>
    <xf numFmtId="179" fontId="11" fillId="4" borderId="57" xfId="0" applyNumberFormat="1" applyFont="1" applyFill="1" applyBorder="1" applyAlignment="1">
      <alignment horizontal="right" vertical="center" wrapText="1"/>
    </xf>
    <xf numFmtId="179" fontId="11" fillId="0" borderId="55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horizontal="justify" vertical="center" wrapText="1"/>
    </xf>
    <xf numFmtId="179" fontId="11" fillId="0" borderId="57" xfId="0" applyNumberFormat="1" applyFont="1" applyBorder="1" applyAlignment="1">
      <alignment horizontal="right" vertical="center" wrapText="1"/>
    </xf>
    <xf numFmtId="179" fontId="11" fillId="4" borderId="54" xfId="0" applyNumberFormat="1" applyFont="1" applyFill="1" applyBorder="1" applyAlignment="1">
      <alignment horizontal="right" vertical="center" wrapText="1"/>
    </xf>
    <xf numFmtId="179" fontId="11" fillId="0" borderId="54" xfId="0" applyNumberFormat="1" applyFont="1" applyBorder="1" applyAlignment="1">
      <alignment horizontal="right" vertical="center" wrapText="1"/>
    </xf>
    <xf numFmtId="179" fontId="11" fillId="0" borderId="5" xfId="0" applyNumberFormat="1" applyFont="1" applyBorder="1" applyAlignment="1">
      <alignment horizontal="right" vertical="center" wrapText="1"/>
    </xf>
    <xf numFmtId="179" fontId="11" fillId="3" borderId="57" xfId="0" applyNumberFormat="1" applyFont="1" applyFill="1" applyBorder="1" applyAlignment="1">
      <alignment horizontal="right" vertical="center" wrapText="1"/>
    </xf>
    <xf numFmtId="179" fontId="11" fillId="5" borderId="55" xfId="0" applyNumberFormat="1" applyFont="1" applyFill="1" applyBorder="1" applyAlignment="1">
      <alignment horizontal="right" vertical="center" wrapText="1"/>
    </xf>
    <xf numFmtId="0" fontId="11" fillId="0" borderId="25" xfId="0" applyFont="1" applyBorder="1" applyAlignment="1">
      <alignment vertical="center" wrapText="1"/>
    </xf>
    <xf numFmtId="179" fontId="11" fillId="5" borderId="54" xfId="0" applyNumberFormat="1" applyFont="1" applyFill="1" applyBorder="1" applyAlignment="1">
      <alignment horizontal="right" vertical="center" wrapText="1"/>
    </xf>
    <xf numFmtId="179" fontId="11" fillId="3" borderId="54" xfId="0" applyNumberFormat="1" applyFont="1" applyFill="1" applyBorder="1" applyAlignment="1">
      <alignment horizontal="right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179" fontId="11" fillId="0" borderId="56" xfId="0" quotePrefix="1" applyNumberFormat="1" applyFont="1" applyBorder="1" applyAlignment="1">
      <alignment horizontal="right" vertical="center" wrapText="1"/>
    </xf>
    <xf numFmtId="0" fontId="11" fillId="0" borderId="30" xfId="0" applyFont="1" applyBorder="1" applyAlignment="1">
      <alignment horizontal="justify" vertical="center" wrapText="1"/>
    </xf>
    <xf numFmtId="179" fontId="11" fillId="0" borderId="61" xfId="0" applyNumberFormat="1" applyFont="1" applyBorder="1" applyAlignment="1">
      <alignment horizontal="right" vertical="center" wrapText="1"/>
    </xf>
    <xf numFmtId="180" fontId="10" fillId="6" borderId="76" xfId="3" applyNumberFormat="1" applyFont="1" applyFill="1" applyBorder="1" applyAlignment="1">
      <alignment vertical="center" wrapText="1"/>
    </xf>
    <xf numFmtId="0" fontId="10" fillId="6" borderId="77" xfId="0" applyFont="1" applyFill="1" applyBorder="1" applyAlignment="1">
      <alignment horizontal="justify" vertical="center" wrapText="1"/>
    </xf>
    <xf numFmtId="179" fontId="10" fillId="6" borderId="78" xfId="0" applyNumberFormat="1" applyFont="1" applyFill="1" applyBorder="1" applyAlignment="1">
      <alignment horizontal="right" vertical="center" wrapText="1"/>
    </xf>
    <xf numFmtId="41" fontId="10" fillId="2" borderId="23" xfId="3" applyFont="1" applyFill="1" applyBorder="1" applyAlignment="1">
      <alignment horizontal="center" wrapText="1"/>
    </xf>
    <xf numFmtId="41" fontId="10" fillId="2" borderId="23" xfId="3" applyFont="1" applyFill="1" applyBorder="1" applyAlignment="1">
      <alignment horizontal="center" shrinkToFit="1"/>
    </xf>
    <xf numFmtId="180" fontId="10" fillId="2" borderId="23" xfId="3" applyNumberFormat="1" applyFont="1" applyFill="1" applyBorder="1" applyAlignment="1">
      <alignment horizontal="center" wrapText="1"/>
    </xf>
    <xf numFmtId="41" fontId="12" fillId="2" borderId="40" xfId="3" applyFont="1" applyFill="1" applyBorder="1" applyAlignment="1">
      <alignment horizontal="center" vertical="top" wrapText="1"/>
    </xf>
    <xf numFmtId="41" fontId="10" fillId="2" borderId="12" xfId="3" applyFont="1" applyFill="1" applyBorder="1" applyAlignment="1">
      <alignment horizontal="center" vertical="top" wrapText="1"/>
    </xf>
    <xf numFmtId="180" fontId="10" fillId="2" borderId="12" xfId="3" applyNumberFormat="1" applyFont="1" applyFill="1" applyBorder="1" applyAlignment="1">
      <alignment horizontal="center" vertical="top" wrapText="1"/>
    </xf>
    <xf numFmtId="41" fontId="10" fillId="2" borderId="40" xfId="3" applyFont="1" applyFill="1" applyBorder="1" applyAlignment="1">
      <alignment horizontal="center" vertical="top" wrapText="1"/>
    </xf>
    <xf numFmtId="181" fontId="10" fillId="2" borderId="23" xfId="3" applyNumberFormat="1" applyFont="1" applyFill="1" applyBorder="1" applyAlignment="1">
      <alignment horizontal="center" wrapText="1"/>
    </xf>
    <xf numFmtId="181" fontId="10" fillId="2" borderId="40" xfId="3" applyNumberFormat="1" applyFont="1" applyFill="1" applyBorder="1" applyAlignment="1">
      <alignment horizontal="center" vertical="top" wrapText="1"/>
    </xf>
    <xf numFmtId="41" fontId="10" fillId="3" borderId="67" xfId="3" applyFont="1" applyFill="1" applyBorder="1" applyAlignment="1">
      <alignment vertical="center" wrapText="1"/>
    </xf>
    <xf numFmtId="180" fontId="10" fillId="3" borderId="62" xfId="3" applyNumberFormat="1" applyFont="1" applyFill="1" applyBorder="1" applyAlignment="1">
      <alignment vertical="center" wrapText="1"/>
    </xf>
    <xf numFmtId="0" fontId="11" fillId="3" borderId="48" xfId="0" applyFont="1" applyFill="1" applyBorder="1" applyAlignment="1">
      <alignment horizontal="justify" vertical="center" wrapText="1"/>
    </xf>
    <xf numFmtId="179" fontId="11" fillId="3" borderId="63" xfId="0" applyNumberFormat="1" applyFont="1" applyFill="1" applyBorder="1" applyAlignment="1">
      <alignment horizontal="right" vertical="center" wrapText="1"/>
    </xf>
    <xf numFmtId="0" fontId="14" fillId="0" borderId="0" xfId="9" applyFont="1">
      <alignment vertical="center"/>
    </xf>
    <xf numFmtId="0" fontId="15" fillId="0" borderId="0" xfId="9" applyFont="1" applyAlignment="1">
      <alignment horizontal="left"/>
    </xf>
    <xf numFmtId="0" fontId="16" fillId="0" borderId="0" xfId="9" applyFont="1" applyAlignment="1">
      <alignment horizontal="left"/>
    </xf>
    <xf numFmtId="0" fontId="17" fillId="0" borderId="0" xfId="9" applyFont="1" applyAlignment="1">
      <alignment horizontal="left"/>
    </xf>
    <xf numFmtId="0" fontId="14" fillId="0" borderId="0" xfId="9" applyFont="1" applyAlignment="1">
      <alignment horizontal="right" vertical="center"/>
    </xf>
    <xf numFmtId="0" fontId="18" fillId="0" borderId="0" xfId="9" applyFont="1" applyAlignment="1">
      <alignment horizontal="centerContinuous" vertical="center"/>
    </xf>
    <xf numFmtId="0" fontId="19" fillId="0" borderId="0" xfId="9" applyFont="1" applyAlignment="1">
      <alignment horizontal="centerContinuous" vertical="center"/>
    </xf>
    <xf numFmtId="0" fontId="20" fillId="0" borderId="0" xfId="9" applyFont="1" applyAlignment="1">
      <alignment horizontal="center"/>
    </xf>
    <xf numFmtId="176" fontId="22" fillId="0" borderId="0" xfId="8" applyNumberFormat="1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181" fontId="21" fillId="0" borderId="0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41" fontId="11" fillId="0" borderId="0" xfId="3" applyFont="1" applyFill="1" applyBorder="1" applyAlignment="1">
      <alignment vertical="center"/>
    </xf>
    <xf numFmtId="181" fontId="11" fillId="0" borderId="0" xfId="3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right" shrinkToFit="1"/>
    </xf>
    <xf numFmtId="0" fontId="10" fillId="7" borderId="79" xfId="0" applyFont="1" applyFill="1" applyBorder="1" applyAlignment="1">
      <alignment horizontal="center" vertical="center" wrapText="1"/>
    </xf>
    <xf numFmtId="0" fontId="10" fillId="7" borderId="80" xfId="0" applyFont="1" applyFill="1" applyBorder="1" applyAlignment="1">
      <alignment horizontal="center" vertical="center" wrapText="1"/>
    </xf>
    <xf numFmtId="41" fontId="10" fillId="8" borderId="16" xfId="3" applyFont="1" applyFill="1" applyBorder="1" applyAlignment="1">
      <alignment horizontal="right" vertical="center" wrapText="1"/>
    </xf>
    <xf numFmtId="181" fontId="10" fillId="8" borderId="16" xfId="3" applyNumberFormat="1" applyFont="1" applyFill="1" applyBorder="1" applyAlignment="1">
      <alignment horizontal="right" vertical="center" wrapText="1"/>
    </xf>
    <xf numFmtId="49" fontId="11" fillId="8" borderId="21" xfId="0" applyNumberFormat="1" applyFont="1" applyFill="1" applyBorder="1" applyAlignment="1">
      <alignment horizontal="justify" vertical="center" shrinkToFit="1"/>
    </xf>
    <xf numFmtId="179" fontId="11" fillId="8" borderId="57" xfId="0" applyNumberFormat="1" applyFont="1" applyFill="1" applyBorder="1" applyAlignment="1">
      <alignment vertical="center" shrinkToFit="1"/>
    </xf>
    <xf numFmtId="0" fontId="11" fillId="0" borderId="25" xfId="0" applyFont="1" applyFill="1" applyBorder="1" applyAlignment="1">
      <alignment vertical="center" wrapText="1"/>
    </xf>
    <xf numFmtId="41" fontId="11" fillId="9" borderId="13" xfId="3" applyFont="1" applyFill="1" applyBorder="1" applyAlignment="1">
      <alignment horizontal="right" vertical="center" wrapText="1"/>
    </xf>
    <xf numFmtId="181" fontId="11" fillId="9" borderId="13" xfId="3" applyNumberFormat="1" applyFont="1" applyFill="1" applyBorder="1" applyAlignment="1">
      <alignment horizontal="right" vertical="center" wrapText="1"/>
    </xf>
    <xf numFmtId="49" fontId="11" fillId="9" borderId="41" xfId="0" applyNumberFormat="1" applyFont="1" applyFill="1" applyBorder="1" applyAlignment="1">
      <alignment horizontal="justify" vertical="center" shrinkToFit="1"/>
    </xf>
    <xf numFmtId="179" fontId="11" fillId="9" borderId="54" xfId="0" applyNumberFormat="1" applyFont="1" applyFill="1" applyBorder="1" applyAlignment="1">
      <alignment vertical="center" shrinkToFit="1"/>
    </xf>
    <xf numFmtId="0" fontId="11" fillId="0" borderId="19" xfId="0" applyFont="1" applyFill="1" applyBorder="1" applyAlignment="1">
      <alignment vertical="center" wrapText="1"/>
    </xf>
    <xf numFmtId="41" fontId="11" fillId="0" borderId="10" xfId="3" applyFont="1" applyFill="1" applyBorder="1" applyAlignment="1">
      <alignment horizontal="right" vertical="center" wrapText="1"/>
    </xf>
    <xf numFmtId="181" fontId="11" fillId="0" borderId="10" xfId="3" applyNumberFormat="1" applyFont="1" applyFill="1" applyBorder="1" applyAlignment="1">
      <alignment horizontal="right" vertical="center" wrapText="1"/>
    </xf>
    <xf numFmtId="49" fontId="11" fillId="0" borderId="42" xfId="0" applyNumberFormat="1" applyFont="1" applyFill="1" applyBorder="1" applyAlignment="1">
      <alignment horizontal="justify" vertical="center" shrinkToFit="1"/>
    </xf>
    <xf numFmtId="179" fontId="11" fillId="0" borderId="55" xfId="0" applyNumberFormat="1" applyFont="1" applyFill="1" applyBorder="1" applyAlignment="1">
      <alignment vertical="center" shrinkToFit="1"/>
    </xf>
    <xf numFmtId="0" fontId="11" fillId="0" borderId="14" xfId="0" applyFont="1" applyFill="1" applyBorder="1" applyAlignment="1">
      <alignment vertical="center" wrapText="1"/>
    </xf>
    <xf numFmtId="41" fontId="11" fillId="0" borderId="15" xfId="3" applyFont="1" applyFill="1" applyBorder="1" applyAlignment="1">
      <alignment horizontal="right" vertical="center"/>
    </xf>
    <xf numFmtId="181" fontId="11" fillId="0" borderId="15" xfId="3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justify" vertical="center" shrinkToFit="1"/>
    </xf>
    <xf numFmtId="179" fontId="11" fillId="0" borderId="5" xfId="0" applyNumberFormat="1" applyFont="1" applyFill="1" applyBorder="1" applyAlignment="1">
      <alignment vertical="center" shrinkToFit="1"/>
    </xf>
    <xf numFmtId="0" fontId="11" fillId="0" borderId="20" xfId="0" applyFont="1" applyFill="1" applyBorder="1" applyAlignment="1">
      <alignment vertical="center" wrapText="1"/>
    </xf>
    <xf numFmtId="41" fontId="11" fillId="0" borderId="18" xfId="3" applyFont="1" applyFill="1" applyBorder="1" applyAlignment="1">
      <alignment horizontal="right" vertical="center" wrapText="1"/>
    </xf>
    <xf numFmtId="181" fontId="11" fillId="0" borderId="18" xfId="3" applyNumberFormat="1" applyFont="1" applyFill="1" applyBorder="1" applyAlignment="1">
      <alignment horizontal="right" vertical="center" wrapText="1"/>
    </xf>
    <xf numFmtId="49" fontId="11" fillId="0" borderId="8" xfId="0" applyNumberFormat="1" applyFont="1" applyFill="1" applyBorder="1" applyAlignment="1">
      <alignment horizontal="justify" vertical="center" shrinkToFit="1"/>
    </xf>
    <xf numFmtId="179" fontId="11" fillId="0" borderId="56" xfId="0" applyNumberFormat="1" applyFont="1" applyFill="1" applyBorder="1" applyAlignment="1">
      <alignment vertical="center" shrinkToFit="1"/>
    </xf>
    <xf numFmtId="41" fontId="11" fillId="0" borderId="15" xfId="3" applyFont="1" applyFill="1" applyBorder="1" applyAlignment="1">
      <alignment horizontal="right" vertical="center" wrapText="1"/>
    </xf>
    <xf numFmtId="181" fontId="11" fillId="0" borderId="15" xfId="3" applyNumberFormat="1" applyFont="1" applyFill="1" applyBorder="1" applyAlignment="1">
      <alignment horizontal="right" vertical="center" wrapText="1"/>
    </xf>
    <xf numFmtId="49" fontId="11" fillId="0" borderId="0" xfId="0" quotePrefix="1" applyNumberFormat="1" applyFont="1" applyFill="1" applyBorder="1" applyAlignment="1">
      <alignment horizontal="justify" vertical="center" shrinkToFit="1"/>
    </xf>
    <xf numFmtId="179" fontId="11" fillId="0" borderId="5" xfId="0" quotePrefix="1" applyNumberFormat="1" applyFont="1" applyFill="1" applyBorder="1" applyAlignment="1">
      <alignment vertical="center" shrinkToFit="1"/>
    </xf>
    <xf numFmtId="49" fontId="11" fillId="0" borderId="0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1" fillId="0" borderId="21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41" fontId="11" fillId="0" borderId="16" xfId="3" applyFont="1" applyFill="1" applyBorder="1" applyAlignment="1">
      <alignment horizontal="right" vertical="center" wrapText="1"/>
    </xf>
    <xf numFmtId="181" fontId="11" fillId="0" borderId="16" xfId="3" applyNumberFormat="1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horizontal="justify" vertical="center" wrapText="1"/>
    </xf>
    <xf numFmtId="0" fontId="11" fillId="0" borderId="14" xfId="0" applyFont="1" applyFill="1" applyBorder="1" applyAlignment="1">
      <alignment horizontal="justify" vertical="center" wrapText="1"/>
    </xf>
    <xf numFmtId="181" fontId="11" fillId="0" borderId="19" xfId="3" applyNumberFormat="1" applyFont="1" applyFill="1" applyBorder="1" applyAlignment="1">
      <alignment horizontal="right" vertical="center" wrapText="1"/>
    </xf>
    <xf numFmtId="49" fontId="11" fillId="0" borderId="2" xfId="0" applyNumberFormat="1" applyFont="1" applyFill="1" applyBorder="1" applyAlignment="1">
      <alignment horizontal="justify" vertical="center" shrinkToFit="1"/>
    </xf>
    <xf numFmtId="179" fontId="11" fillId="0" borderId="58" xfId="0" applyNumberFormat="1" applyFont="1" applyFill="1" applyBorder="1" applyAlignment="1">
      <alignment vertical="center" shrinkToFit="1"/>
    </xf>
    <xf numFmtId="181" fontId="11" fillId="0" borderId="14" xfId="3" applyNumberFormat="1" applyFont="1" applyFill="1" applyBorder="1" applyAlignment="1">
      <alignment horizontal="right" vertical="center" wrapText="1"/>
    </xf>
    <xf numFmtId="49" fontId="11" fillId="0" borderId="7" xfId="0" applyNumberFormat="1" applyFont="1" applyFill="1" applyBorder="1" applyAlignment="1">
      <alignment horizontal="justify" vertical="center" shrinkToFit="1"/>
    </xf>
    <xf numFmtId="49" fontId="11" fillId="0" borderId="3" xfId="0" applyNumberFormat="1" applyFont="1" applyFill="1" applyBorder="1" applyAlignment="1">
      <alignment horizontal="justify" vertical="center" shrinkToFit="1"/>
    </xf>
    <xf numFmtId="0" fontId="11" fillId="0" borderId="18" xfId="0" applyFont="1" applyFill="1" applyBorder="1" applyAlignment="1">
      <alignment vertical="center" wrapText="1"/>
    </xf>
    <xf numFmtId="41" fontId="11" fillId="9" borderId="16" xfId="3" applyFont="1" applyFill="1" applyBorder="1" applyAlignment="1">
      <alignment horizontal="right" vertical="center" wrapText="1"/>
    </xf>
    <xf numFmtId="181" fontId="11" fillId="9" borderId="16" xfId="3" applyNumberFormat="1" applyFont="1" applyFill="1" applyBorder="1" applyAlignment="1">
      <alignment horizontal="right" vertical="center" wrapText="1"/>
    </xf>
    <xf numFmtId="49" fontId="11" fillId="9" borderId="43" xfId="0" applyNumberFormat="1" applyFont="1" applyFill="1" applyBorder="1" applyAlignment="1">
      <alignment vertical="center" shrinkToFit="1"/>
    </xf>
    <xf numFmtId="179" fontId="11" fillId="9" borderId="57" xfId="0" applyNumberFormat="1" applyFont="1" applyFill="1" applyBorder="1" applyAlignment="1">
      <alignment vertical="center" shrinkToFi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41" fontId="11" fillId="0" borderId="23" xfId="3" applyFont="1" applyFill="1" applyBorder="1" applyAlignment="1">
      <alignment horizontal="right" vertical="center" wrapText="1"/>
    </xf>
    <xf numFmtId="181" fontId="11" fillId="0" borderId="23" xfId="3" applyNumberFormat="1" applyFont="1" applyFill="1" applyBorder="1" applyAlignment="1">
      <alignment horizontal="right" vertical="center" wrapText="1"/>
    </xf>
    <xf numFmtId="176" fontId="11" fillId="0" borderId="9" xfId="0" applyNumberFormat="1" applyFont="1" applyFill="1" applyBorder="1" applyAlignment="1">
      <alignment horizontal="justify" vertical="center" shrinkToFit="1"/>
    </xf>
    <xf numFmtId="176" fontId="11" fillId="0" borderId="0" xfId="0" applyNumberFormat="1" applyFont="1" applyFill="1" applyBorder="1" applyAlignment="1">
      <alignment horizontal="justify" vertical="center" shrinkToFit="1"/>
    </xf>
    <xf numFmtId="0" fontId="11" fillId="0" borderId="0" xfId="0" applyNumberFormat="1" applyFont="1" applyFill="1" applyBorder="1" applyAlignment="1">
      <alignment horizontal="justify" vertical="center" shrinkToFit="1"/>
    </xf>
    <xf numFmtId="41" fontId="10" fillId="8" borderId="62" xfId="3" applyFont="1" applyFill="1" applyBorder="1" applyAlignment="1">
      <alignment horizontal="right" vertical="center" wrapText="1"/>
    </xf>
    <xf numFmtId="181" fontId="10" fillId="8" borderId="62" xfId="3" applyNumberFormat="1" applyFont="1" applyFill="1" applyBorder="1" applyAlignment="1">
      <alignment horizontal="right" vertical="center" wrapText="1"/>
    </xf>
    <xf numFmtId="49" fontId="11" fillId="8" borderId="46" xfId="0" applyNumberFormat="1" applyFont="1" applyFill="1" applyBorder="1" applyAlignment="1">
      <alignment horizontal="justify" vertical="center" shrinkToFit="1"/>
    </xf>
    <xf numFmtId="179" fontId="11" fillId="8" borderId="63" xfId="0" applyNumberFormat="1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41" fontId="11" fillId="0" borderId="23" xfId="3" applyFont="1" applyFill="1" applyBorder="1" applyAlignment="1">
      <alignment vertical="center" wrapText="1"/>
    </xf>
    <xf numFmtId="49" fontId="11" fillId="0" borderId="9" xfId="0" applyNumberFormat="1" applyFont="1" applyFill="1" applyBorder="1" applyAlignment="1">
      <alignment horizontal="justify" vertical="center" shrinkToFit="1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0" xfId="0" quotePrefix="1" applyFont="1" applyFill="1" applyBorder="1" applyAlignment="1">
      <alignment vertical="center" shrinkToFit="1"/>
    </xf>
    <xf numFmtId="41" fontId="11" fillId="10" borderId="15" xfId="3" applyFont="1" applyFill="1" applyBorder="1" applyAlignment="1">
      <alignment horizontal="right" vertical="center" wrapText="1"/>
    </xf>
    <xf numFmtId="181" fontId="11" fillId="10" borderId="15" xfId="3" applyNumberFormat="1" applyFont="1" applyFill="1" applyBorder="1" applyAlignment="1">
      <alignment horizontal="right" vertical="center" wrapText="1"/>
    </xf>
    <xf numFmtId="0" fontId="11" fillId="10" borderId="0" xfId="0" applyFont="1" applyFill="1" applyBorder="1" applyAlignment="1">
      <alignment vertical="center" shrinkToFit="1"/>
    </xf>
    <xf numFmtId="179" fontId="11" fillId="10" borderId="5" xfId="0" applyNumberFormat="1" applyFont="1" applyFill="1" applyBorder="1" applyAlignment="1">
      <alignment vertical="center" shrinkToFit="1"/>
    </xf>
    <xf numFmtId="49" fontId="11" fillId="0" borderId="42" xfId="0" applyNumberFormat="1" applyFont="1" applyFill="1" applyBorder="1" applyAlignment="1">
      <alignment horizontal="left" vertical="center" shrinkToFit="1"/>
    </xf>
    <xf numFmtId="49" fontId="11" fillId="0" borderId="0" xfId="0" applyNumberFormat="1" applyFont="1" applyFill="1" applyBorder="1" applyAlignment="1">
      <alignment horizontal="left" vertical="center" shrinkToFit="1"/>
    </xf>
    <xf numFmtId="49" fontId="11" fillId="0" borderId="43" xfId="0" applyNumberFormat="1" applyFont="1" applyFill="1" applyBorder="1" applyAlignment="1">
      <alignment horizontal="justify" vertical="center" shrinkToFit="1"/>
    </xf>
    <xf numFmtId="179" fontId="11" fillId="0" borderId="57" xfId="0" applyNumberFormat="1" applyFont="1" applyFill="1" applyBorder="1" applyAlignment="1">
      <alignment vertical="center" shrinkToFit="1"/>
    </xf>
    <xf numFmtId="0" fontId="11" fillId="0" borderId="28" xfId="0" applyFont="1" applyFill="1" applyBorder="1" applyAlignment="1">
      <alignment horizontal="justify" vertical="center" wrapText="1"/>
    </xf>
    <xf numFmtId="0" fontId="11" fillId="0" borderId="16" xfId="0" applyFont="1" applyFill="1" applyBorder="1" applyAlignment="1">
      <alignment horizontal="justify" vertical="center" wrapText="1"/>
    </xf>
    <xf numFmtId="0" fontId="11" fillId="0" borderId="17" xfId="0" applyFont="1" applyFill="1" applyBorder="1" applyAlignment="1">
      <alignment horizontal="justify" vertical="center" wrapText="1"/>
    </xf>
    <xf numFmtId="41" fontId="11" fillId="0" borderId="13" xfId="3" applyFont="1" applyFill="1" applyBorder="1" applyAlignment="1">
      <alignment horizontal="right" vertical="center" wrapText="1"/>
    </xf>
    <xf numFmtId="181" fontId="11" fillId="0" borderId="13" xfId="3" applyNumberFormat="1" applyFont="1" applyFill="1" applyBorder="1" applyAlignment="1">
      <alignment horizontal="right" vertical="center" wrapText="1"/>
    </xf>
    <xf numFmtId="49" fontId="11" fillId="0" borderId="41" xfId="0" applyNumberFormat="1" applyFont="1" applyFill="1" applyBorder="1" applyAlignment="1">
      <alignment horizontal="justify" vertical="center" shrinkToFit="1"/>
    </xf>
    <xf numFmtId="179" fontId="11" fillId="0" borderId="54" xfId="0" applyNumberFormat="1" applyFont="1" applyFill="1" applyBorder="1" applyAlignment="1">
      <alignment vertical="center" shrinkToFit="1"/>
    </xf>
    <xf numFmtId="41" fontId="10" fillId="8" borderId="13" xfId="3" applyFont="1" applyFill="1" applyBorder="1" applyAlignment="1">
      <alignment horizontal="right" vertical="center" wrapText="1"/>
    </xf>
    <xf numFmtId="181" fontId="10" fillId="8" borderId="13" xfId="3" applyNumberFormat="1" applyFont="1" applyFill="1" applyBorder="1" applyAlignment="1">
      <alignment horizontal="right" vertical="center" wrapText="1"/>
    </xf>
    <xf numFmtId="49" fontId="10" fillId="8" borderId="41" xfId="0" applyNumberFormat="1" applyFont="1" applyFill="1" applyBorder="1" applyAlignment="1">
      <alignment horizontal="justify" vertical="center" shrinkToFit="1"/>
    </xf>
    <xf numFmtId="179" fontId="10" fillId="8" borderId="54" xfId="0" applyNumberFormat="1" applyFont="1" applyFill="1" applyBorder="1" applyAlignment="1">
      <alignment vertical="center" shrinkToFit="1"/>
    </xf>
    <xf numFmtId="0" fontId="11" fillId="0" borderId="2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8" xfId="0" quotePrefix="1" applyFont="1" applyFill="1" applyBorder="1" applyAlignment="1">
      <alignment vertical="center" shrinkToFit="1"/>
    </xf>
    <xf numFmtId="179" fontId="11" fillId="0" borderId="56" xfId="0" quotePrefix="1" applyNumberFormat="1" applyFont="1" applyFill="1" applyBorder="1" applyAlignment="1">
      <alignment vertical="center" shrinkToFit="1"/>
    </xf>
    <xf numFmtId="0" fontId="11" fillId="0" borderId="21" xfId="0" applyFont="1" applyFill="1" applyBorder="1" applyAlignment="1">
      <alignment horizontal="justify" vertical="center" wrapText="1"/>
    </xf>
    <xf numFmtId="49" fontId="11" fillId="8" borderId="43" xfId="0" applyNumberFormat="1" applyFont="1" applyFill="1" applyBorder="1" applyAlignment="1">
      <alignment horizontal="justify" vertical="center" shrinkToFit="1"/>
    </xf>
    <xf numFmtId="49" fontId="11" fillId="9" borderId="43" xfId="0" applyNumberFormat="1" applyFont="1" applyFill="1" applyBorder="1" applyAlignment="1">
      <alignment horizontal="justify" vertical="center" shrinkToFit="1"/>
    </xf>
    <xf numFmtId="0" fontId="11" fillId="0" borderId="15" xfId="0" applyFont="1" applyFill="1" applyBorder="1" applyAlignment="1">
      <alignment horizontal="justify" vertical="center" wrapText="1"/>
    </xf>
    <xf numFmtId="49" fontId="11" fillId="0" borderId="42" xfId="0" quotePrefix="1" applyNumberFormat="1" applyFont="1" applyFill="1" applyBorder="1" applyAlignment="1">
      <alignment vertical="center" shrinkToFit="1"/>
    </xf>
    <xf numFmtId="179" fontId="11" fillId="0" borderId="55" xfId="0" quotePrefix="1" applyNumberFormat="1" applyFont="1" applyFill="1" applyBorder="1" applyAlignment="1">
      <alignment vertical="center" shrinkToFit="1"/>
    </xf>
    <xf numFmtId="49" fontId="11" fillId="0" borderId="0" xfId="0" quotePrefix="1" applyNumberFormat="1" applyFont="1" applyFill="1" applyBorder="1" applyAlignment="1">
      <alignment vertical="center" shrinkToFit="1"/>
    </xf>
    <xf numFmtId="49" fontId="11" fillId="0" borderId="43" xfId="0" quotePrefix="1" applyNumberFormat="1" applyFont="1" applyFill="1" applyBorder="1" applyAlignment="1">
      <alignment vertical="center" shrinkToFit="1"/>
    </xf>
    <xf numFmtId="179" fontId="11" fillId="0" borderId="57" xfId="0" quotePrefix="1" applyNumberFormat="1" applyFont="1" applyFill="1" applyBorder="1" applyAlignment="1">
      <alignment vertical="center" shrinkToFit="1"/>
    </xf>
    <xf numFmtId="0" fontId="11" fillId="0" borderId="25" xfId="0" applyFont="1" applyFill="1" applyBorder="1" applyAlignment="1">
      <alignment horizontal="justify" vertical="center" wrapText="1"/>
    </xf>
    <xf numFmtId="0" fontId="11" fillId="0" borderId="19" xfId="0" applyFont="1" applyFill="1" applyBorder="1" applyAlignment="1">
      <alignment vertical="center" shrinkToFit="1"/>
    </xf>
    <xf numFmtId="49" fontId="11" fillId="8" borderId="41" xfId="0" applyNumberFormat="1" applyFont="1" applyFill="1" applyBorder="1" applyAlignment="1">
      <alignment horizontal="justify" vertical="center" shrinkToFit="1"/>
    </xf>
    <xf numFmtId="179" fontId="11" fillId="8" borderId="54" xfId="0" applyNumberFormat="1" applyFont="1" applyFill="1" applyBorder="1" applyAlignment="1">
      <alignment vertical="center" shrinkToFit="1"/>
    </xf>
    <xf numFmtId="0" fontId="11" fillId="0" borderId="26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41" fontId="11" fillId="10" borderId="10" xfId="3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53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justify" vertical="center" wrapText="1"/>
    </xf>
    <xf numFmtId="0" fontId="11" fillId="0" borderId="39" xfId="0" applyFont="1" applyFill="1" applyBorder="1" applyAlignment="1">
      <alignment horizontal="justify" vertical="center" wrapText="1"/>
    </xf>
    <xf numFmtId="41" fontId="11" fillId="0" borderId="38" xfId="3" applyFont="1" applyFill="1" applyBorder="1" applyAlignment="1">
      <alignment horizontal="right" vertical="center" wrapText="1"/>
    </xf>
    <xf numFmtId="181" fontId="11" fillId="0" borderId="38" xfId="3" applyNumberFormat="1" applyFont="1" applyFill="1" applyBorder="1" applyAlignment="1">
      <alignment horizontal="right" vertical="center" wrapText="1"/>
    </xf>
    <xf numFmtId="49" fontId="11" fillId="0" borderId="60" xfId="0" applyNumberFormat="1" applyFont="1" applyFill="1" applyBorder="1" applyAlignment="1">
      <alignment horizontal="justify" vertical="center" shrinkToFit="1"/>
    </xf>
    <xf numFmtId="179" fontId="11" fillId="0" borderId="59" xfId="0" applyNumberFormat="1" applyFont="1" applyFill="1" applyBorder="1" applyAlignment="1">
      <alignment vertical="center" shrinkToFit="1"/>
    </xf>
    <xf numFmtId="0" fontId="11" fillId="0" borderId="30" xfId="0" applyFont="1" applyFill="1" applyBorder="1" applyAlignment="1">
      <alignment horizontal="justify" vertical="center" wrapText="1"/>
    </xf>
    <xf numFmtId="0" fontId="11" fillId="0" borderId="12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justify" vertical="center" wrapText="1"/>
    </xf>
    <xf numFmtId="41" fontId="11" fillId="0" borderId="11" xfId="3" applyFont="1" applyFill="1" applyBorder="1" applyAlignment="1">
      <alignment horizontal="right" vertical="center" wrapText="1"/>
    </xf>
    <xf numFmtId="181" fontId="11" fillId="0" borderId="11" xfId="3" applyNumberFormat="1" applyFont="1" applyFill="1" applyBorder="1" applyAlignment="1">
      <alignment horizontal="right" vertical="center" wrapText="1"/>
    </xf>
    <xf numFmtId="49" fontId="11" fillId="0" borderId="22" xfId="0" applyNumberFormat="1" applyFont="1" applyFill="1" applyBorder="1" applyAlignment="1">
      <alignment horizontal="justify" vertical="center" shrinkToFit="1"/>
    </xf>
    <xf numFmtId="179" fontId="11" fillId="0" borderId="61" xfId="0" applyNumberFormat="1" applyFont="1" applyFill="1" applyBorder="1" applyAlignment="1">
      <alignment vertical="center" shrinkToFit="1"/>
    </xf>
    <xf numFmtId="41" fontId="10" fillId="11" borderId="18" xfId="3" applyFont="1" applyFill="1" applyBorder="1" applyAlignment="1">
      <alignment horizontal="right" vertical="center" wrapText="1"/>
    </xf>
    <xf numFmtId="181" fontId="10" fillId="11" borderId="18" xfId="3" applyNumberFormat="1" applyFont="1" applyFill="1" applyBorder="1" applyAlignment="1">
      <alignment horizontal="right" vertical="center" wrapText="1"/>
    </xf>
    <xf numFmtId="49" fontId="11" fillId="11" borderId="20" xfId="0" applyNumberFormat="1" applyFont="1" applyFill="1" applyBorder="1" applyAlignment="1">
      <alignment horizontal="justify" vertical="center" shrinkToFit="1"/>
    </xf>
    <xf numFmtId="179" fontId="11" fillId="11" borderId="56" xfId="0" applyNumberFormat="1" applyFont="1" applyFill="1" applyBorder="1" applyAlignment="1">
      <alignment vertical="center" shrinkToFit="1"/>
    </xf>
    <xf numFmtId="0" fontId="22" fillId="0" borderId="0" xfId="0" applyFont="1" applyAlignment="1">
      <alignment vertical="center"/>
    </xf>
    <xf numFmtId="41" fontId="22" fillId="0" borderId="0" xfId="3" applyFont="1" applyAlignment="1">
      <alignment vertical="center"/>
    </xf>
    <xf numFmtId="180" fontId="22" fillId="0" borderId="0" xfId="3" applyNumberFormat="1" applyFont="1" applyAlignment="1">
      <alignment vertical="center"/>
    </xf>
    <xf numFmtId="179" fontId="11" fillId="0" borderId="55" xfId="0" applyNumberFormat="1" applyFont="1" applyFill="1" applyBorder="1" applyAlignment="1">
      <alignment horizontal="right" vertical="center" shrinkToFit="1"/>
    </xf>
    <xf numFmtId="179" fontId="11" fillId="0" borderId="5" xfId="0" applyNumberFormat="1" applyFont="1" applyFill="1" applyBorder="1" applyAlignment="1">
      <alignment horizontal="right" vertical="center" shrinkToFit="1"/>
    </xf>
    <xf numFmtId="179" fontId="22" fillId="0" borderId="0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11" fillId="0" borderId="25" xfId="0" applyFont="1" applyFill="1" applyBorder="1" applyAlignment="1">
      <alignment vertical="center" wrapText="1"/>
    </xf>
    <xf numFmtId="49" fontId="11" fillId="0" borderId="17" xfId="0" quotePrefix="1" applyNumberFormat="1" applyFont="1" applyFill="1" applyBorder="1" applyAlignment="1">
      <alignment vertical="center" shrinkToFit="1"/>
    </xf>
    <xf numFmtId="179" fontId="11" fillId="0" borderId="54" xfId="0" quotePrefix="1" applyNumberFormat="1" applyFont="1" applyFill="1" applyBorder="1" applyAlignment="1">
      <alignment horizontal="right" vertical="center" shrinkToFit="1"/>
    </xf>
    <xf numFmtId="0" fontId="20" fillId="0" borderId="0" xfId="9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3" borderId="53" xfId="0" applyFont="1" applyFill="1" applyBorder="1" applyAlignment="1">
      <alignment horizontal="justify" vertical="center" wrapText="1"/>
    </xf>
    <xf numFmtId="0" fontId="10" fillId="3" borderId="41" xfId="0" applyFont="1" applyFill="1" applyBorder="1" applyAlignment="1">
      <alignment horizontal="justify" vertical="center" wrapText="1"/>
    </xf>
    <xf numFmtId="0" fontId="11" fillId="4" borderId="19" xfId="0" applyFont="1" applyFill="1" applyBorder="1" applyAlignment="1">
      <alignment horizontal="justify" vertical="center" wrapText="1"/>
    </xf>
    <xf numFmtId="0" fontId="11" fillId="4" borderId="41" xfId="0" applyFont="1" applyFill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3" borderId="74" xfId="0" applyFont="1" applyFill="1" applyBorder="1" applyAlignment="1">
      <alignment horizontal="justify" vertical="center" wrapText="1"/>
    </xf>
    <xf numFmtId="0" fontId="10" fillId="3" borderId="66" xfId="0" applyFont="1" applyFill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0" fillId="6" borderId="49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justify" vertical="center" wrapText="1"/>
    </xf>
    <xf numFmtId="0" fontId="10" fillId="3" borderId="46" xfId="0" applyFont="1" applyFill="1" applyBorder="1" applyAlignment="1">
      <alignment horizontal="justify" vertical="center" wrapText="1"/>
    </xf>
    <xf numFmtId="0" fontId="10" fillId="3" borderId="43" xfId="0" applyFont="1" applyFill="1" applyBorder="1" applyAlignment="1">
      <alignment horizontal="justify" vertical="center" wrapText="1"/>
    </xf>
    <xf numFmtId="0" fontId="11" fillId="4" borderId="2" xfId="0" applyFont="1" applyFill="1" applyBorder="1" applyAlignment="1">
      <alignment horizontal="justify" vertical="center" wrapText="1"/>
    </xf>
    <xf numFmtId="0" fontId="11" fillId="4" borderId="9" xfId="0" applyFont="1" applyFill="1" applyBorder="1" applyAlignment="1">
      <alignment horizontal="justify" vertical="center" wrapText="1"/>
    </xf>
    <xf numFmtId="0" fontId="11" fillId="4" borderId="14" xfId="0" applyFont="1" applyFill="1" applyBorder="1" applyAlignment="1">
      <alignment horizontal="justify" vertical="center" wrapText="1"/>
    </xf>
    <xf numFmtId="0" fontId="11" fillId="4" borderId="43" xfId="0" applyFont="1" applyFill="1" applyBorder="1" applyAlignment="1">
      <alignment horizontal="justify" vertical="center" wrapText="1"/>
    </xf>
    <xf numFmtId="49" fontId="10" fillId="7" borderId="52" xfId="0" applyNumberFormat="1" applyFont="1" applyFill="1" applyBorder="1" applyAlignment="1">
      <alignment horizontal="center" vertical="center" shrinkToFit="1"/>
    </xf>
    <xf numFmtId="49" fontId="10" fillId="7" borderId="58" xfId="0" applyNumberFormat="1" applyFont="1" applyFill="1" applyBorder="1" applyAlignment="1">
      <alignment horizontal="center" vertical="center" shrinkToFit="1"/>
    </xf>
    <xf numFmtId="49" fontId="10" fillId="7" borderId="81" xfId="0" applyNumberFormat="1" applyFont="1" applyFill="1" applyBorder="1" applyAlignment="1">
      <alignment horizontal="center" vertical="center" shrinkToFit="1"/>
    </xf>
    <xf numFmtId="49" fontId="10" fillId="7" borderId="82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10" fillId="8" borderId="53" xfId="0" applyFont="1" applyFill="1" applyBorder="1" applyAlignment="1">
      <alignment horizontal="justify" vertical="center" wrapText="1"/>
    </xf>
    <xf numFmtId="0" fontId="10" fillId="8" borderId="41" xfId="0" applyFont="1" applyFill="1" applyBorder="1" applyAlignment="1">
      <alignment horizontal="justify" vertical="center" wrapText="1"/>
    </xf>
    <xf numFmtId="0" fontId="10" fillId="8" borderId="2" xfId="0" applyFont="1" applyFill="1" applyBorder="1" applyAlignment="1">
      <alignment horizontal="justify" vertical="center" wrapText="1"/>
    </xf>
    <xf numFmtId="0" fontId="10" fillId="8" borderId="46" xfId="0" applyFont="1" applyFill="1" applyBorder="1" applyAlignment="1">
      <alignment horizontal="justify" vertical="center" wrapText="1"/>
    </xf>
    <xf numFmtId="0" fontId="11" fillId="9" borderId="19" xfId="0" applyFont="1" applyFill="1" applyBorder="1" applyAlignment="1">
      <alignment horizontal="justify" vertical="center" wrapText="1"/>
    </xf>
    <xf numFmtId="0" fontId="11" fillId="9" borderId="41" xfId="0" applyFont="1" applyFill="1" applyBorder="1" applyAlignment="1">
      <alignment horizontal="justify" vertical="center" wrapText="1"/>
    </xf>
    <xf numFmtId="0" fontId="11" fillId="0" borderId="25" xfId="0" applyFont="1" applyFill="1" applyBorder="1" applyAlignment="1">
      <alignment horizontal="justify" vertical="center" wrapText="1"/>
    </xf>
    <xf numFmtId="0" fontId="11" fillId="0" borderId="28" xfId="0" applyFont="1" applyFill="1" applyBorder="1" applyAlignment="1">
      <alignment horizontal="justify" vertical="center" wrapText="1"/>
    </xf>
    <xf numFmtId="0" fontId="10" fillId="11" borderId="49" xfId="0" applyFont="1" applyFill="1" applyBorder="1" applyAlignment="1">
      <alignment horizontal="center" vertical="center" wrapText="1"/>
    </xf>
    <xf numFmtId="0" fontId="10" fillId="11" borderId="50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justify" vertical="center" wrapText="1"/>
    </xf>
    <xf numFmtId="0" fontId="11" fillId="0" borderId="25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9" borderId="43" xfId="0" applyFont="1" applyFill="1" applyBorder="1" applyAlignment="1">
      <alignment horizontal="justify" vertical="center" wrapText="1"/>
    </xf>
    <xf numFmtId="0" fontId="11" fillId="0" borderId="14" xfId="0" applyFont="1" applyFill="1" applyBorder="1" applyAlignment="1">
      <alignment horizontal="justify" vertical="center" wrapText="1"/>
    </xf>
    <xf numFmtId="0" fontId="11" fillId="0" borderId="21" xfId="0" applyFont="1" applyFill="1" applyBorder="1" applyAlignment="1">
      <alignment horizontal="justify" vertical="center" wrapText="1"/>
    </xf>
    <xf numFmtId="0" fontId="10" fillId="8" borderId="43" xfId="0" applyFont="1" applyFill="1" applyBorder="1" applyAlignment="1">
      <alignment horizontal="justify" vertical="center" wrapText="1"/>
    </xf>
    <xf numFmtId="0" fontId="11" fillId="0" borderId="15" xfId="0" applyFont="1" applyFill="1" applyBorder="1" applyAlignment="1">
      <alignment horizontal="justify" vertical="center" wrapText="1"/>
    </xf>
    <xf numFmtId="0" fontId="11" fillId="9" borderId="52" xfId="0" applyFont="1" applyFill="1" applyBorder="1" applyAlignment="1">
      <alignment horizontal="justify" vertical="center" wrapText="1"/>
    </xf>
    <xf numFmtId="0" fontId="11" fillId="9" borderId="46" xfId="0" applyFont="1" applyFill="1" applyBorder="1" applyAlignment="1">
      <alignment horizontal="justify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10" fillId="7" borderId="46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justify" vertical="center" wrapText="1"/>
    </xf>
    <xf numFmtId="0" fontId="10" fillId="8" borderId="33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1" fontId="25" fillId="0" borderId="0" xfId="3" quotePrefix="1" applyFont="1" applyAlignment="1">
      <alignment horizontal="left" vertical="center"/>
    </xf>
    <xf numFmtId="41" fontId="25" fillId="0" borderId="0" xfId="3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41" fontId="14" fillId="0" borderId="6" xfId="0" applyNumberFormat="1" applyFont="1" applyBorder="1" applyAlignment="1">
      <alignment horizontal="center" vertical="center"/>
    </xf>
    <xf numFmtId="41" fontId="14" fillId="0" borderId="0" xfId="0" applyNumberFormat="1" applyFont="1" applyAlignment="1">
      <alignment horizontal="center" vertical="center"/>
    </xf>
    <xf numFmtId="0" fontId="14" fillId="0" borderId="64" xfId="0" applyFont="1" applyBorder="1" applyAlignment="1">
      <alignment horizontal="distributed" vertical="center" indent="1"/>
    </xf>
    <xf numFmtId="0" fontId="14" fillId="0" borderId="72" xfId="0" applyFont="1" applyBorder="1" applyAlignment="1">
      <alignment horizontal="distributed" vertical="center" indent="1"/>
    </xf>
    <xf numFmtId="0" fontId="14" fillId="0" borderId="6" xfId="0" applyFont="1" applyBorder="1" applyAlignment="1">
      <alignment horizontal="distributed" vertical="center" indent="1"/>
    </xf>
    <xf numFmtId="0" fontId="14" fillId="0" borderId="2" xfId="0" applyFont="1" applyBorder="1" applyAlignment="1">
      <alignment horizontal="distributed" vertical="center" indent="1"/>
    </xf>
    <xf numFmtId="0" fontId="14" fillId="0" borderId="58" xfId="0" applyFont="1" applyBorder="1" applyAlignment="1">
      <alignment horizontal="distributed" vertical="center" indent="1"/>
    </xf>
    <xf numFmtId="41" fontId="14" fillId="0" borderId="83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distributed" vertical="center" indent="1"/>
    </xf>
    <xf numFmtId="0" fontId="14" fillId="0" borderId="5" xfId="0" applyFont="1" applyBorder="1" applyAlignment="1">
      <alignment horizontal="distributed" vertical="center" inden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distributed" vertical="center" indent="1"/>
    </xf>
    <xf numFmtId="0" fontId="14" fillId="0" borderId="56" xfId="0" applyFont="1" applyBorder="1" applyAlignment="1">
      <alignment horizontal="distributed" vertical="center" indent="1"/>
    </xf>
    <xf numFmtId="0" fontId="14" fillId="0" borderId="83" xfId="0" applyFont="1" applyBorder="1" applyAlignment="1">
      <alignment horizontal="distributed" vertical="center" indent="1"/>
    </xf>
    <xf numFmtId="0" fontId="14" fillId="12" borderId="84" xfId="0" applyFont="1" applyFill="1" applyBorder="1" applyAlignment="1">
      <alignment horizontal="center" vertical="center"/>
    </xf>
    <xf numFmtId="0" fontId="14" fillId="12" borderId="87" xfId="0" applyFont="1" applyFill="1" applyBorder="1" applyAlignment="1">
      <alignment horizontal="center" vertical="center"/>
    </xf>
    <xf numFmtId="41" fontId="14" fillId="12" borderId="85" xfId="0" applyNumberFormat="1" applyFont="1" applyFill="1" applyBorder="1" applyAlignment="1">
      <alignment horizontal="center" vertical="center"/>
    </xf>
    <xf numFmtId="0" fontId="14" fillId="12" borderId="85" xfId="0" applyFont="1" applyFill="1" applyBorder="1" applyAlignment="1">
      <alignment horizontal="center" vertical="center"/>
    </xf>
    <xf numFmtId="4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 indent="1"/>
    </xf>
    <xf numFmtId="0" fontId="14" fillId="12" borderId="88" xfId="0" applyFont="1" applyFill="1" applyBorder="1" applyAlignment="1">
      <alignment horizontal="center" vertical="center"/>
    </xf>
    <xf numFmtId="0" fontId="14" fillId="12" borderId="89" xfId="0" applyFont="1" applyFill="1" applyBorder="1" applyAlignment="1">
      <alignment horizontal="center" vertical="center"/>
    </xf>
    <xf numFmtId="0" fontId="14" fillId="12" borderId="86" xfId="0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center" vertical="center"/>
    </xf>
    <xf numFmtId="0" fontId="26" fillId="12" borderId="83" xfId="0" applyFont="1" applyFill="1" applyBorder="1" applyAlignment="1">
      <alignment horizontal="center" vertical="center"/>
    </xf>
    <xf numFmtId="0" fontId="26" fillId="12" borderId="83" xfId="0" applyFont="1" applyFill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180" fontId="26" fillId="0" borderId="85" xfId="0" applyNumberFormat="1" applyFont="1" applyBorder="1" applyAlignment="1">
      <alignment horizontal="center" vertical="center"/>
    </xf>
    <xf numFmtId="180" fontId="26" fillId="0" borderId="85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</cellXfs>
  <cellStyles count="10">
    <cellStyle name="Currency1" xfId="1"/>
    <cellStyle name="백분율 2" xfId="2"/>
    <cellStyle name="쉼표 [0]" xfId="3" builtinId="6"/>
    <cellStyle name="쉼표 [0] 2" xfId="4"/>
    <cellStyle name="콤마 [0]_임직원" xfId="5"/>
    <cellStyle name="콤마_임직원" xfId="6"/>
    <cellStyle name="표준" xfId="0" builtinId="0"/>
    <cellStyle name="표준 2" xfId="7"/>
    <cellStyle name="표준_2001년예산_여천고" xfId="8"/>
    <cellStyle name="표준_진상회계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Normal="100" zoomScaleSheetLayoutView="100" workbookViewId="0">
      <selection activeCell="F20" sqref="F20"/>
    </sheetView>
  </sheetViews>
  <sheetFormatPr defaultColWidth="11.42578125" defaultRowHeight="16.5"/>
  <cols>
    <col min="1" max="1" width="5.28515625" style="102" customWidth="1"/>
    <col min="2" max="16384" width="11.42578125" style="102"/>
  </cols>
  <sheetData>
    <row r="1" spans="1:8" ht="16.5" customHeight="1"/>
    <row r="2" spans="1:8" ht="16.5" customHeight="1"/>
    <row r="3" spans="1:8" ht="9.75" customHeight="1"/>
    <row r="4" spans="1:8" ht="24" customHeight="1">
      <c r="A4" s="103" t="s">
        <v>312</v>
      </c>
      <c r="B4" s="104"/>
    </row>
    <row r="5" spans="1:8" ht="16.5" customHeight="1">
      <c r="A5" s="105"/>
      <c r="B5" s="105"/>
    </row>
    <row r="6" spans="1:8" ht="16.5" customHeight="1">
      <c r="C6" s="106"/>
    </row>
    <row r="7" spans="1:8" ht="16.5" customHeight="1"/>
    <row r="9" spans="1:8" ht="46.5" customHeight="1">
      <c r="A9" s="107" t="s">
        <v>5</v>
      </c>
      <c r="B9" s="108"/>
      <c r="C9" s="108"/>
      <c r="D9" s="108"/>
      <c r="E9" s="108"/>
      <c r="F9" s="108"/>
      <c r="G9" s="108"/>
      <c r="H9" s="108"/>
    </row>
    <row r="10" spans="1:8" ht="31.5">
      <c r="A10" s="108"/>
      <c r="B10" s="108"/>
      <c r="C10" s="108"/>
      <c r="D10" s="108"/>
      <c r="E10" s="108"/>
      <c r="F10" s="108"/>
      <c r="G10" s="108"/>
      <c r="H10" s="108"/>
    </row>
    <row r="11" spans="1:8" ht="31.5">
      <c r="A11" s="108"/>
      <c r="B11" s="108"/>
      <c r="C11" s="108"/>
      <c r="D11" s="108"/>
      <c r="E11" s="108"/>
      <c r="F11" s="108"/>
      <c r="G11" s="108"/>
      <c r="H11" s="108"/>
    </row>
    <row r="12" spans="1:8" ht="31.5">
      <c r="A12" s="108"/>
      <c r="B12" s="108"/>
      <c r="C12" s="108"/>
      <c r="D12" s="108"/>
      <c r="E12" s="108"/>
      <c r="F12" s="108"/>
      <c r="G12" s="108"/>
      <c r="H12" s="108"/>
    </row>
    <row r="13" spans="1:8" ht="23.25" customHeight="1"/>
    <row r="14" spans="1:8" ht="23.25" customHeight="1"/>
    <row r="15" spans="1:8" ht="23.25" customHeight="1"/>
    <row r="16" spans="1:8" ht="23.25" customHeight="1"/>
    <row r="17" spans="1:8" ht="23.25" customHeight="1"/>
    <row r="18" spans="1:8" ht="23.25" customHeight="1"/>
    <row r="19" spans="1:8" ht="23.25" customHeight="1"/>
    <row r="20" spans="1:8" ht="23.25" customHeight="1"/>
    <row r="21" spans="1:8" ht="23.25" customHeight="1"/>
    <row r="22" spans="1:8" ht="23.25" customHeight="1"/>
    <row r="23" spans="1:8" ht="23.25" customHeight="1"/>
    <row r="24" spans="1:8" ht="23.25" customHeight="1"/>
    <row r="25" spans="1:8" ht="41.25" customHeight="1">
      <c r="A25" s="263" t="s">
        <v>4</v>
      </c>
      <c r="B25" s="263"/>
      <c r="C25" s="263"/>
      <c r="D25" s="263"/>
      <c r="E25" s="263"/>
      <c r="F25" s="263"/>
      <c r="G25" s="263"/>
      <c r="H25" s="263"/>
    </row>
    <row r="26" spans="1:8" ht="23.25" customHeight="1">
      <c r="A26" s="108"/>
      <c r="B26" s="108"/>
      <c r="C26" s="108"/>
      <c r="D26" s="108"/>
      <c r="E26" s="108"/>
      <c r="F26" s="108"/>
      <c r="G26" s="108"/>
    </row>
    <row r="27" spans="1:8" ht="23.25" customHeight="1">
      <c r="A27" s="109"/>
      <c r="B27" s="109"/>
      <c r="C27" s="109"/>
      <c r="D27" s="109"/>
      <c r="E27" s="109"/>
      <c r="F27" s="109"/>
      <c r="G27" s="109"/>
    </row>
  </sheetData>
  <mergeCells count="1">
    <mergeCell ref="A25:H25"/>
  </mergeCells>
  <phoneticPr fontId="4" type="noConversion"/>
  <printOptions horizontalCentered="1"/>
  <pageMargins left="0.43307086614173229" right="0.23622047244094491" top="1.299212598425197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zoomScaleSheetLayoutView="100" workbookViewId="0"/>
  </sheetViews>
  <sheetFormatPr defaultColWidth="11.42578125" defaultRowHeight="16.5"/>
  <cols>
    <col min="1" max="1" width="7.7109375" style="102" customWidth="1"/>
    <col min="2" max="2" width="77.7109375" style="102" customWidth="1"/>
    <col min="3" max="16384" width="11.42578125" style="102"/>
  </cols>
  <sheetData>
    <row r="1" spans="1:2" ht="23.25" customHeight="1"/>
    <row r="2" spans="1:2" s="253" customFormat="1" ht="24.95" customHeight="1">
      <c r="A2" s="264" t="s">
        <v>3</v>
      </c>
      <c r="B2" s="264"/>
    </row>
    <row r="3" spans="1:2" s="253" customFormat="1" ht="24.95" customHeight="1">
      <c r="B3" s="258"/>
    </row>
    <row r="4" spans="1:2" s="254" customFormat="1" ht="24.95" customHeight="1">
      <c r="B4" s="259" t="s">
        <v>6</v>
      </c>
    </row>
    <row r="5" spans="1:2" s="255" customFormat="1" ht="24.95" customHeight="1">
      <c r="A5" s="255" t="s">
        <v>313</v>
      </c>
      <c r="B5" s="257" t="s">
        <v>319</v>
      </c>
    </row>
    <row r="6" spans="1:2" s="255" customFormat="1" ht="24.95" customHeight="1">
      <c r="B6" s="257" t="s">
        <v>320</v>
      </c>
    </row>
    <row r="7" spans="1:2" s="256" customFormat="1" ht="24.95" customHeight="1">
      <c r="B7" s="257"/>
    </row>
    <row r="8" spans="1:2" s="256" customFormat="1" ht="24.95" customHeight="1">
      <c r="A8" s="256" t="s">
        <v>314</v>
      </c>
      <c r="B8" s="256" t="s">
        <v>315</v>
      </c>
    </row>
    <row r="9" spans="1:2" s="256" customFormat="1" ht="24.95" customHeight="1"/>
    <row r="10" spans="1:2" s="256" customFormat="1" ht="24.95" customHeight="1">
      <c r="A10" s="256" t="s">
        <v>316</v>
      </c>
      <c r="B10" s="256" t="s">
        <v>317</v>
      </c>
    </row>
    <row r="11" spans="1:2" s="256" customFormat="1" ht="24.95" customHeight="1"/>
    <row r="12" spans="1:2" s="256" customFormat="1" ht="24.95" customHeight="1">
      <c r="A12" s="256" t="s">
        <v>318</v>
      </c>
      <c r="B12" s="256" t="s">
        <v>321</v>
      </c>
    </row>
    <row r="13" spans="1:2" s="256" customFormat="1" ht="24.95" customHeight="1">
      <c r="B13" s="256" t="s">
        <v>322</v>
      </c>
    </row>
    <row r="14" spans="1:2" s="256" customFormat="1" ht="24.95" customHeight="1">
      <c r="B14" s="257" t="s">
        <v>323</v>
      </c>
    </row>
    <row r="15" spans="1:2" s="256" customFormat="1" ht="24.95" customHeight="1">
      <c r="B15" s="257" t="s">
        <v>324</v>
      </c>
    </row>
    <row r="16" spans="1:2" s="256" customFormat="1" ht="24.95" customHeight="1">
      <c r="B16" s="257" t="s">
        <v>325</v>
      </c>
    </row>
    <row r="17" spans="1:2" s="256" customFormat="1" ht="24.95" customHeight="1">
      <c r="B17" s="257"/>
    </row>
    <row r="18" spans="1:2" s="256" customFormat="1" ht="24.95" customHeight="1">
      <c r="A18" s="256" t="s">
        <v>326</v>
      </c>
      <c r="B18" s="257" t="s">
        <v>327</v>
      </c>
    </row>
    <row r="19" spans="1:2" s="256" customFormat="1" ht="24.95" customHeight="1">
      <c r="B19" s="257" t="s">
        <v>328</v>
      </c>
    </row>
    <row r="20" spans="1:2" s="256" customFormat="1" ht="24.95" customHeight="1">
      <c r="B20" s="257" t="s">
        <v>329</v>
      </c>
    </row>
    <row r="21" spans="1:2" s="256" customFormat="1" ht="24.95" customHeight="1">
      <c r="B21" s="257" t="s">
        <v>330</v>
      </c>
    </row>
    <row r="22" spans="1:2" s="256" customFormat="1" ht="24.95" customHeight="1">
      <c r="B22" s="257" t="s">
        <v>331</v>
      </c>
    </row>
    <row r="23" spans="1:2" s="256" customFormat="1" ht="24.95" customHeight="1">
      <c r="B23" s="257"/>
    </row>
    <row r="24" spans="1:2" s="256" customFormat="1" ht="24.95" customHeight="1">
      <c r="B24" s="257"/>
    </row>
    <row r="25" spans="1:2" s="256" customFormat="1" ht="24.95" customHeight="1">
      <c r="B25" s="257"/>
    </row>
    <row r="26" spans="1:2" s="256" customFormat="1" ht="24.95" customHeight="1">
      <c r="B26" s="257"/>
    </row>
    <row r="27" spans="1:2">
      <c r="B27" s="257"/>
    </row>
    <row r="28" spans="1:2">
      <c r="B28" s="257"/>
    </row>
  </sheetData>
  <mergeCells count="1">
    <mergeCell ref="A2:B2"/>
  </mergeCells>
  <phoneticPr fontId="4" type="noConversion"/>
  <printOptions horizontalCentered="1"/>
  <pageMargins left="0.39370078740157483" right="0.39370078740157483" top="1.299212598425197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workbookViewId="0">
      <selection sqref="A1:E1"/>
    </sheetView>
  </sheetViews>
  <sheetFormatPr defaultColWidth="20.85546875" defaultRowHeight="22.5" customHeight="1"/>
  <cols>
    <col min="1" max="1" width="17.140625" style="323" customWidth="1"/>
    <col min="2" max="2" width="7.140625" style="323" customWidth="1"/>
    <col min="3" max="3" width="17.5703125" style="323" customWidth="1"/>
    <col min="4" max="4" width="23.85546875" style="323" customWidth="1"/>
    <col min="5" max="5" width="17.5703125" style="323" customWidth="1"/>
    <col min="6" max="16384" width="20.85546875" style="323"/>
  </cols>
  <sheetData>
    <row r="1" spans="1:5" ht="38.25" customHeight="1">
      <c r="A1" s="322" t="s">
        <v>334</v>
      </c>
      <c r="B1" s="322"/>
      <c r="C1" s="322"/>
      <c r="D1" s="322"/>
      <c r="E1" s="322"/>
    </row>
    <row r="3" spans="1:5" ht="27.75" customHeight="1">
      <c r="A3" s="324" t="s">
        <v>335</v>
      </c>
      <c r="B3" s="324" t="s">
        <v>362</v>
      </c>
    </row>
    <row r="4" spans="1:5" ht="27.75" customHeight="1">
      <c r="A4" s="325" t="s">
        <v>336</v>
      </c>
      <c r="B4" s="325" t="s">
        <v>363</v>
      </c>
    </row>
    <row r="5" spans="1:5" ht="27.75" customHeight="1">
      <c r="A5" s="325" t="s">
        <v>337</v>
      </c>
      <c r="B5" s="325" t="s">
        <v>338</v>
      </c>
    </row>
    <row r="6" spans="1:5" ht="23.25" customHeight="1">
      <c r="A6" s="325"/>
      <c r="B6" s="325"/>
      <c r="E6" s="326" t="s">
        <v>339</v>
      </c>
    </row>
    <row r="7" spans="1:5" ht="23.25" customHeight="1" thickBot="1">
      <c r="A7" s="350" t="s">
        <v>340</v>
      </c>
      <c r="B7" s="351" t="s">
        <v>365</v>
      </c>
      <c r="C7" s="351"/>
      <c r="D7" s="352" t="s">
        <v>366</v>
      </c>
      <c r="E7" s="352" t="s">
        <v>341</v>
      </c>
    </row>
    <row r="8" spans="1:5" ht="36" customHeight="1" thickTop="1">
      <c r="A8" s="353" t="s">
        <v>364</v>
      </c>
      <c r="B8" s="354">
        <f>세입!E78</f>
        <v>1456428</v>
      </c>
      <c r="C8" s="354"/>
      <c r="D8" s="355">
        <f>세입!D78</f>
        <v>1341688</v>
      </c>
      <c r="E8" s="355">
        <f>D8-B8</f>
        <v>-114740</v>
      </c>
    </row>
    <row r="9" spans="1:5" ht="23.25" customHeight="1">
      <c r="A9" s="356"/>
      <c r="B9" s="356"/>
      <c r="C9" s="356"/>
      <c r="D9" s="356"/>
      <c r="E9" s="356"/>
    </row>
    <row r="10" spans="1:5" ht="23.25" customHeight="1">
      <c r="A10" s="351" t="s">
        <v>342</v>
      </c>
      <c r="B10" s="351"/>
      <c r="C10" s="351"/>
      <c r="D10" s="351" t="s">
        <v>343</v>
      </c>
      <c r="E10" s="351"/>
    </row>
    <row r="11" spans="1:5" ht="23.25" customHeight="1" thickBot="1">
      <c r="A11" s="347" t="s">
        <v>344</v>
      </c>
      <c r="B11" s="348"/>
      <c r="C11" s="349" t="s">
        <v>345</v>
      </c>
      <c r="D11" s="349" t="s">
        <v>346</v>
      </c>
      <c r="E11" s="349" t="s">
        <v>347</v>
      </c>
    </row>
    <row r="12" spans="1:5" ht="23.25" customHeight="1" thickTop="1">
      <c r="A12" s="338" t="s">
        <v>348</v>
      </c>
      <c r="B12" s="339"/>
      <c r="C12" s="345">
        <f>세입!D6</f>
        <v>665416</v>
      </c>
      <c r="D12" s="346" t="s">
        <v>349</v>
      </c>
      <c r="E12" s="345">
        <f>세출!D6</f>
        <v>786104</v>
      </c>
    </row>
    <row r="13" spans="1:5" ht="23.25" customHeight="1">
      <c r="A13" s="329" t="s">
        <v>350</v>
      </c>
      <c r="B13" s="330"/>
      <c r="C13" s="327">
        <f>세입!D27</f>
        <v>341861</v>
      </c>
      <c r="D13" s="331" t="s">
        <v>351</v>
      </c>
      <c r="E13" s="327">
        <f>세출!D93</f>
        <v>60077</v>
      </c>
    </row>
    <row r="14" spans="1:5" ht="23.25" customHeight="1">
      <c r="A14" s="329" t="s">
        <v>352</v>
      </c>
      <c r="B14" s="330"/>
      <c r="C14" s="327">
        <f>세입!D45</f>
        <v>331553</v>
      </c>
      <c r="D14" s="331" t="s">
        <v>353</v>
      </c>
      <c r="E14" s="327">
        <f>세출!D135</f>
        <v>113386</v>
      </c>
    </row>
    <row r="15" spans="1:5" ht="23.25" customHeight="1">
      <c r="A15" s="329" t="s">
        <v>354</v>
      </c>
      <c r="B15" s="330"/>
      <c r="C15" s="327">
        <f>세입!D58</f>
        <v>2558</v>
      </c>
      <c r="D15" s="331" t="s">
        <v>355</v>
      </c>
      <c r="E15" s="327">
        <f>세출!D156</f>
        <v>360261</v>
      </c>
    </row>
    <row r="16" spans="1:5" ht="23.25" customHeight="1">
      <c r="A16" s="332" t="s">
        <v>356</v>
      </c>
      <c r="B16" s="333"/>
      <c r="C16" s="334">
        <f>세입!D73</f>
        <v>300</v>
      </c>
      <c r="D16" s="331" t="s">
        <v>357</v>
      </c>
      <c r="E16" s="327">
        <f>세출!D183</f>
        <v>0</v>
      </c>
    </row>
    <row r="17" spans="1:5" ht="23.25" customHeight="1">
      <c r="A17" s="335"/>
      <c r="B17" s="336"/>
      <c r="C17" s="337"/>
      <c r="D17" s="331" t="s">
        <v>358</v>
      </c>
      <c r="E17" s="327">
        <f>세출!D187</f>
        <v>20860</v>
      </c>
    </row>
    <row r="18" spans="1:5" ht="23.25" customHeight="1" thickBot="1">
      <c r="A18" s="335"/>
      <c r="B18" s="336"/>
      <c r="C18" s="337"/>
      <c r="D18" s="340" t="s">
        <v>359</v>
      </c>
      <c r="E18" s="334">
        <f>세출!D203</f>
        <v>1000</v>
      </c>
    </row>
    <row r="19" spans="1:5" ht="23.25" customHeight="1" thickTop="1">
      <c r="A19" s="341" t="s">
        <v>360</v>
      </c>
      <c r="B19" s="342"/>
      <c r="C19" s="343">
        <f>SUM(C12:C18)</f>
        <v>1341688</v>
      </c>
      <c r="D19" s="344" t="s">
        <v>361</v>
      </c>
      <c r="E19" s="343">
        <f>SUM(E12:E18)</f>
        <v>1341688</v>
      </c>
    </row>
    <row r="20" spans="1:5" ht="16.5">
      <c r="C20" s="328"/>
    </row>
  </sheetData>
  <mergeCells count="14">
    <mergeCell ref="A18:B18"/>
    <mergeCell ref="A19:B19"/>
    <mergeCell ref="B7:C7"/>
    <mergeCell ref="B8:C8"/>
    <mergeCell ref="A12:B12"/>
    <mergeCell ref="A13:B13"/>
    <mergeCell ref="A14:B14"/>
    <mergeCell ref="A15:B15"/>
    <mergeCell ref="A16:B16"/>
    <mergeCell ref="A17:B17"/>
    <mergeCell ref="A1:E1"/>
    <mergeCell ref="A10:C10"/>
    <mergeCell ref="D10:E10"/>
    <mergeCell ref="A11:B11"/>
  </mergeCells>
  <phoneticPr fontId="2" type="noConversion"/>
  <printOptions horizontalCentered="1"/>
  <pageMargins left="0.39370078740157483" right="0.39370078740157483" top="1.1811023622047245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opLeftCell="A52" zoomScaleNormal="100" zoomScalePageLayoutView="51" workbookViewId="0">
      <selection activeCell="G46" sqref="G46"/>
    </sheetView>
  </sheetViews>
  <sheetFormatPr defaultColWidth="10.28515625" defaultRowHeight="21" customHeight="1"/>
  <cols>
    <col min="1" max="2" width="5" style="247" customWidth="1"/>
    <col min="3" max="3" width="26.42578125" style="247" customWidth="1"/>
    <col min="4" max="5" width="12.7109375" style="248" customWidth="1"/>
    <col min="6" max="6" width="12.7109375" style="249" customWidth="1"/>
    <col min="7" max="7" width="47.140625" style="247" customWidth="1"/>
    <col min="8" max="8" width="13.85546875" style="110" bestFit="1" customWidth="1"/>
    <col min="9" max="16384" width="10.28515625" style="110"/>
  </cols>
  <sheetData>
    <row r="1" spans="1:8" ht="32.25" customHeight="1">
      <c r="A1" s="269" t="s">
        <v>284</v>
      </c>
      <c r="B1" s="269"/>
      <c r="C1" s="269"/>
      <c r="D1" s="269"/>
      <c r="E1" s="269"/>
      <c r="F1" s="269"/>
      <c r="G1" s="269"/>
      <c r="H1" s="269"/>
    </row>
    <row r="2" spans="1:8" ht="13.5" customHeight="1">
      <c r="A2" s="66"/>
      <c r="B2" s="66"/>
      <c r="C2" s="66"/>
      <c r="D2" s="66"/>
      <c r="E2" s="66"/>
      <c r="F2" s="66"/>
      <c r="G2" s="66"/>
      <c r="H2" s="66"/>
    </row>
    <row r="3" spans="1:8" ht="18.75" customHeight="1">
      <c r="A3" s="19"/>
      <c r="G3" s="1"/>
      <c r="H3" s="1" t="s">
        <v>7</v>
      </c>
    </row>
    <row r="4" spans="1:8" ht="18.75" customHeight="1">
      <c r="A4" s="276" t="s">
        <v>8</v>
      </c>
      <c r="B4" s="277"/>
      <c r="C4" s="278"/>
      <c r="D4" s="89" t="s">
        <v>9</v>
      </c>
      <c r="E4" s="90" t="s">
        <v>285</v>
      </c>
      <c r="F4" s="91" t="s">
        <v>10</v>
      </c>
      <c r="G4" s="265" t="s">
        <v>11</v>
      </c>
      <c r="H4" s="266"/>
    </row>
    <row r="5" spans="1:8" ht="18.75" customHeight="1" thickBot="1">
      <c r="A5" s="67" t="s">
        <v>0</v>
      </c>
      <c r="B5" s="2" t="s">
        <v>1</v>
      </c>
      <c r="C5" s="2" t="s">
        <v>2</v>
      </c>
      <c r="D5" s="92" t="s">
        <v>12</v>
      </c>
      <c r="E5" s="93" t="s">
        <v>13</v>
      </c>
      <c r="F5" s="94" t="s">
        <v>14</v>
      </c>
      <c r="G5" s="267"/>
      <c r="H5" s="268"/>
    </row>
    <row r="6" spans="1:8" ht="18.75" customHeight="1" thickTop="1">
      <c r="A6" s="279" t="s">
        <v>15</v>
      </c>
      <c r="B6" s="280"/>
      <c r="C6" s="280"/>
      <c r="D6" s="45">
        <f>D7+D9+D12+D16+D20</f>
        <v>665416</v>
      </c>
      <c r="E6" s="45">
        <f>E7+E9+E12+E16+E20</f>
        <v>664123</v>
      </c>
      <c r="F6" s="51">
        <f>F7+F9+F12+F16+F20</f>
        <v>1293</v>
      </c>
      <c r="G6" s="53" t="s">
        <v>16</v>
      </c>
      <c r="H6" s="68"/>
    </row>
    <row r="7" spans="1:8" ht="18.75" customHeight="1">
      <c r="A7" s="281" t="s">
        <v>16</v>
      </c>
      <c r="B7" s="287" t="s">
        <v>17</v>
      </c>
      <c r="C7" s="288"/>
      <c r="D7" s="48">
        <f>D8</f>
        <v>401280</v>
      </c>
      <c r="E7" s="48">
        <f>E8</f>
        <v>425040</v>
      </c>
      <c r="F7" s="52">
        <f>F8</f>
        <v>-23760</v>
      </c>
      <c r="G7" s="54" t="s">
        <v>16</v>
      </c>
      <c r="H7" s="63"/>
    </row>
    <row r="8" spans="1:8" ht="18.75" customHeight="1">
      <c r="A8" s="281"/>
      <c r="B8" s="6" t="s">
        <v>16</v>
      </c>
      <c r="C8" s="24" t="s">
        <v>17</v>
      </c>
      <c r="D8" s="49">
        <f>SUM(H8:H8)/1000</f>
        <v>401280</v>
      </c>
      <c r="E8" s="49">
        <v>425040</v>
      </c>
      <c r="F8" s="50">
        <f>D8-E8</f>
        <v>-23760</v>
      </c>
      <c r="G8" s="55" t="s">
        <v>286</v>
      </c>
      <c r="H8" s="64">
        <f>220000*152*12</f>
        <v>401280000</v>
      </c>
    </row>
    <row r="9" spans="1:8" ht="18.75" customHeight="1">
      <c r="A9" s="274" t="s">
        <v>16</v>
      </c>
      <c r="B9" s="289" t="s">
        <v>18</v>
      </c>
      <c r="C9" s="290"/>
      <c r="D9" s="46">
        <f>D10</f>
        <v>124600</v>
      </c>
      <c r="E9" s="46">
        <f>E10</f>
        <v>105800</v>
      </c>
      <c r="F9" s="47">
        <f>F10</f>
        <v>18800</v>
      </c>
      <c r="G9" s="56" t="s">
        <v>16</v>
      </c>
      <c r="H9" s="69"/>
    </row>
    <row r="10" spans="1:8" ht="18.75" customHeight="1">
      <c r="A10" s="274"/>
      <c r="B10" s="17" t="s">
        <v>16</v>
      </c>
      <c r="C10" s="15" t="s">
        <v>19</v>
      </c>
      <c r="D10" s="20">
        <f>SUM(H10:H11)/1000</f>
        <v>124600</v>
      </c>
      <c r="E10" s="20">
        <f>5000+100800</f>
        <v>105800</v>
      </c>
      <c r="F10" s="34">
        <f>D10-E10</f>
        <v>18800</v>
      </c>
      <c r="G10" s="15" t="s">
        <v>287</v>
      </c>
      <c r="H10" s="70">
        <f>70000*140*12</f>
        <v>117600000</v>
      </c>
    </row>
    <row r="11" spans="1:8" ht="18.75" customHeight="1">
      <c r="A11" s="71"/>
      <c r="B11" s="18"/>
      <c r="C11" s="16"/>
      <c r="D11" s="21"/>
      <c r="E11" s="21"/>
      <c r="F11" s="44"/>
      <c r="G11" s="16" t="s">
        <v>288</v>
      </c>
      <c r="H11" s="72">
        <v>7000000</v>
      </c>
    </row>
    <row r="12" spans="1:8" ht="18.75" customHeight="1">
      <c r="A12" s="274" t="s">
        <v>16</v>
      </c>
      <c r="B12" s="272" t="s">
        <v>20</v>
      </c>
      <c r="C12" s="273"/>
      <c r="D12" s="26">
        <f>D13+D14+D15</f>
        <v>0</v>
      </c>
      <c r="E12" s="26">
        <f>E13+E14+E15</f>
        <v>0</v>
      </c>
      <c r="F12" s="33">
        <f>F13+F14+F15</f>
        <v>0</v>
      </c>
      <c r="G12" s="13" t="s">
        <v>16</v>
      </c>
      <c r="H12" s="73"/>
    </row>
    <row r="13" spans="1:8" ht="18.75" customHeight="1">
      <c r="A13" s="274"/>
      <c r="B13" s="17" t="s">
        <v>16</v>
      </c>
      <c r="C13" s="4" t="s">
        <v>21</v>
      </c>
      <c r="D13" s="27"/>
      <c r="E13" s="27"/>
      <c r="F13" s="37">
        <f>D13-E13</f>
        <v>0</v>
      </c>
      <c r="G13" s="4" t="s">
        <v>16</v>
      </c>
      <c r="H13" s="74"/>
    </row>
    <row r="14" spans="1:8" ht="18.75" customHeight="1">
      <c r="A14" s="71" t="s">
        <v>16</v>
      </c>
      <c r="B14" s="17" t="s">
        <v>16</v>
      </c>
      <c r="C14" s="4" t="s">
        <v>22</v>
      </c>
      <c r="D14" s="27"/>
      <c r="E14" s="27"/>
      <c r="F14" s="37">
        <f>D14-E14</f>
        <v>0</v>
      </c>
      <c r="G14" s="4" t="s">
        <v>16</v>
      </c>
      <c r="H14" s="74"/>
    </row>
    <row r="15" spans="1:8" ht="18.75" customHeight="1">
      <c r="A15" s="71" t="s">
        <v>16</v>
      </c>
      <c r="B15" s="3" t="s">
        <v>16</v>
      </c>
      <c r="C15" s="4" t="s">
        <v>23</v>
      </c>
      <c r="D15" s="27"/>
      <c r="E15" s="27"/>
      <c r="F15" s="37">
        <f>D15-E15</f>
        <v>0</v>
      </c>
      <c r="G15" s="4"/>
      <c r="H15" s="74"/>
    </row>
    <row r="16" spans="1:8" ht="18.75" customHeight="1">
      <c r="A16" s="71" t="s">
        <v>16</v>
      </c>
      <c r="B16" s="272" t="s">
        <v>24</v>
      </c>
      <c r="C16" s="273"/>
      <c r="D16" s="26">
        <f>D17+D18+D19</f>
        <v>0</v>
      </c>
      <c r="E16" s="26">
        <f>E17+E18+E19</f>
        <v>0</v>
      </c>
      <c r="F16" s="36">
        <f>F17+F18+F19</f>
        <v>0</v>
      </c>
      <c r="G16" s="13" t="s">
        <v>16</v>
      </c>
      <c r="H16" s="73"/>
    </row>
    <row r="17" spans="1:8" ht="18.75" customHeight="1">
      <c r="A17" s="71" t="s">
        <v>16</v>
      </c>
      <c r="B17" s="17" t="s">
        <v>16</v>
      </c>
      <c r="C17" s="4" t="s">
        <v>21</v>
      </c>
      <c r="D17" s="27"/>
      <c r="E17" s="27"/>
      <c r="F17" s="37"/>
      <c r="G17" s="4" t="s">
        <v>16</v>
      </c>
      <c r="H17" s="74"/>
    </row>
    <row r="18" spans="1:8" ht="18.75" customHeight="1">
      <c r="A18" s="71" t="s">
        <v>16</v>
      </c>
      <c r="B18" s="17" t="s">
        <v>16</v>
      </c>
      <c r="C18" s="4" t="s">
        <v>22</v>
      </c>
      <c r="D18" s="27"/>
      <c r="E18" s="27"/>
      <c r="F18" s="37">
        <f>D18-E18</f>
        <v>0</v>
      </c>
      <c r="G18" s="4"/>
      <c r="H18" s="74"/>
    </row>
    <row r="19" spans="1:8" ht="18.75" customHeight="1">
      <c r="A19" s="71" t="s">
        <v>16</v>
      </c>
      <c r="B19" s="3" t="s">
        <v>16</v>
      </c>
      <c r="C19" s="4" t="s">
        <v>23</v>
      </c>
      <c r="D19" s="27"/>
      <c r="E19" s="27"/>
      <c r="F19" s="37"/>
      <c r="G19" s="4"/>
      <c r="H19" s="74"/>
    </row>
    <row r="20" spans="1:8" ht="18.75" customHeight="1">
      <c r="A20" s="71" t="s">
        <v>16</v>
      </c>
      <c r="B20" s="272" t="s">
        <v>25</v>
      </c>
      <c r="C20" s="273"/>
      <c r="D20" s="26">
        <f>SUM(D21:D26)</f>
        <v>139536</v>
      </c>
      <c r="E20" s="26">
        <f>E21+E22+E26</f>
        <v>133283</v>
      </c>
      <c r="F20" s="33">
        <f>F21+F22+F26</f>
        <v>6253</v>
      </c>
      <c r="G20" s="13" t="s">
        <v>26</v>
      </c>
      <c r="H20" s="73"/>
    </row>
    <row r="21" spans="1:8" ht="18.75" customHeight="1">
      <c r="A21" s="71" t="s">
        <v>16</v>
      </c>
      <c r="B21" s="17" t="s">
        <v>16</v>
      </c>
      <c r="C21" s="4" t="s">
        <v>21</v>
      </c>
      <c r="D21" s="27"/>
      <c r="E21" s="27"/>
      <c r="F21" s="37">
        <f>D21-E21</f>
        <v>0</v>
      </c>
      <c r="G21" s="4" t="s">
        <v>16</v>
      </c>
      <c r="H21" s="74"/>
    </row>
    <row r="22" spans="1:8" ht="18.75" customHeight="1">
      <c r="A22" s="71" t="s">
        <v>16</v>
      </c>
      <c r="B22" s="17" t="s">
        <v>16</v>
      </c>
      <c r="C22" s="15" t="s">
        <v>22</v>
      </c>
      <c r="D22" s="20">
        <f>SUM(H22:H25)/1000</f>
        <v>105936</v>
      </c>
      <c r="E22" s="20">
        <v>109283</v>
      </c>
      <c r="F22" s="34">
        <f>D22-E22</f>
        <v>-3347</v>
      </c>
      <c r="G22" s="15" t="s">
        <v>290</v>
      </c>
      <c r="H22" s="70">
        <f>2000*152*214</f>
        <v>65056000</v>
      </c>
    </row>
    <row r="23" spans="1:8" ht="18.75" customHeight="1">
      <c r="A23" s="71"/>
      <c r="B23" s="17"/>
      <c r="C23" s="18"/>
      <c r="D23" s="22"/>
      <c r="E23" s="22"/>
      <c r="F23" s="38"/>
      <c r="G23" s="18" t="s">
        <v>291</v>
      </c>
      <c r="H23" s="75">
        <v>2000000</v>
      </c>
    </row>
    <row r="24" spans="1:8" ht="18.75" customHeight="1">
      <c r="A24" s="71"/>
      <c r="B24" s="17"/>
      <c r="C24" s="18"/>
      <c r="D24" s="22"/>
      <c r="E24" s="22"/>
      <c r="F24" s="38"/>
      <c r="G24" s="18" t="s">
        <v>292</v>
      </c>
      <c r="H24" s="75">
        <f>20000*152*12</f>
        <v>36480000</v>
      </c>
    </row>
    <row r="25" spans="1:8" ht="18.75" customHeight="1">
      <c r="A25" s="71"/>
      <c r="B25" s="17"/>
      <c r="C25" s="18"/>
      <c r="D25" s="22"/>
      <c r="E25" s="22"/>
      <c r="F25" s="38"/>
      <c r="G25" s="18" t="s">
        <v>293</v>
      </c>
      <c r="H25" s="75">
        <v>2400000</v>
      </c>
    </row>
    <row r="26" spans="1:8" ht="18.75" customHeight="1">
      <c r="A26" s="71" t="s">
        <v>16</v>
      </c>
      <c r="B26" s="18" t="s">
        <v>16</v>
      </c>
      <c r="C26" s="24" t="s">
        <v>23</v>
      </c>
      <c r="D26" s="30">
        <f>H26/1000</f>
        <v>33600</v>
      </c>
      <c r="E26" s="30">
        <v>24000</v>
      </c>
      <c r="F26" s="41">
        <f>D26-E26</f>
        <v>9600</v>
      </c>
      <c r="G26" s="57" t="s">
        <v>289</v>
      </c>
      <c r="H26" s="65">
        <f>400000*7*12</f>
        <v>33600000</v>
      </c>
    </row>
    <row r="27" spans="1:8" ht="18.75" customHeight="1">
      <c r="A27" s="270" t="s">
        <v>27</v>
      </c>
      <c r="B27" s="271"/>
      <c r="C27" s="286"/>
      <c r="D27" s="25">
        <f>D28+D34+D37+D40</f>
        <v>341861</v>
      </c>
      <c r="E27" s="25">
        <f>E28+E34+E37+E40</f>
        <v>433776</v>
      </c>
      <c r="F27" s="42">
        <f>F28+F34+F37+F40</f>
        <v>-91915</v>
      </c>
      <c r="G27" s="58" t="s">
        <v>16</v>
      </c>
      <c r="H27" s="76"/>
    </row>
    <row r="28" spans="1:8" ht="18.75" customHeight="1">
      <c r="A28" s="71" t="s">
        <v>16</v>
      </c>
      <c r="B28" s="272" t="s">
        <v>28</v>
      </c>
      <c r="C28" s="273"/>
      <c r="D28" s="26">
        <f>SUM(D29:D33)</f>
        <v>122912</v>
      </c>
      <c r="E28" s="26">
        <f>E29+E30</f>
        <v>126184</v>
      </c>
      <c r="F28" s="36">
        <f>F29+F30</f>
        <v>-3272</v>
      </c>
      <c r="G28" s="13" t="s">
        <v>16</v>
      </c>
      <c r="H28" s="73"/>
    </row>
    <row r="29" spans="1:8" ht="18.75" customHeight="1">
      <c r="A29" s="71" t="s">
        <v>16</v>
      </c>
      <c r="B29" s="17" t="s">
        <v>16</v>
      </c>
      <c r="C29" s="4" t="s">
        <v>29</v>
      </c>
      <c r="D29" s="27">
        <f>SUM(H29/1000)</f>
        <v>8000</v>
      </c>
      <c r="E29" s="27">
        <v>9400</v>
      </c>
      <c r="F29" s="37">
        <f>D29-E29</f>
        <v>-1400</v>
      </c>
      <c r="G29" s="4" t="s">
        <v>294</v>
      </c>
      <c r="H29" s="74">
        <f>100000*80</f>
        <v>8000000</v>
      </c>
    </row>
    <row r="30" spans="1:8" ht="18.75" customHeight="1">
      <c r="A30" s="71" t="s">
        <v>16</v>
      </c>
      <c r="B30" s="18" t="s">
        <v>16</v>
      </c>
      <c r="C30" s="15" t="s">
        <v>30</v>
      </c>
      <c r="D30" s="20">
        <f>SUM(H30:H33)/1000</f>
        <v>114912</v>
      </c>
      <c r="E30" s="20">
        <v>116784</v>
      </c>
      <c r="F30" s="34">
        <f>D30-E30</f>
        <v>-1872</v>
      </c>
      <c r="G30" s="15" t="s">
        <v>295</v>
      </c>
      <c r="H30" s="70">
        <f>63000*152*3</f>
        <v>28728000</v>
      </c>
    </row>
    <row r="31" spans="1:8" ht="18.75" customHeight="1">
      <c r="A31" s="71"/>
      <c r="B31" s="18"/>
      <c r="C31" s="18"/>
      <c r="D31" s="22"/>
      <c r="E31" s="22"/>
      <c r="F31" s="38"/>
      <c r="G31" s="18" t="s">
        <v>296</v>
      </c>
      <c r="H31" s="75">
        <f>63000*152*3</f>
        <v>28728000</v>
      </c>
    </row>
    <row r="32" spans="1:8" ht="18.75" customHeight="1">
      <c r="A32" s="71"/>
      <c r="B32" s="18"/>
      <c r="C32" s="18"/>
      <c r="D32" s="22"/>
      <c r="E32" s="22"/>
      <c r="F32" s="38"/>
      <c r="G32" s="18" t="s">
        <v>297</v>
      </c>
      <c r="H32" s="75">
        <f>63000*152*3</f>
        <v>28728000</v>
      </c>
    </row>
    <row r="33" spans="1:8" ht="18.75" customHeight="1">
      <c r="A33" s="71"/>
      <c r="B33" s="18"/>
      <c r="C33" s="16"/>
      <c r="D33" s="21"/>
      <c r="E33" s="21"/>
      <c r="F33" s="35"/>
      <c r="G33" s="16" t="s">
        <v>298</v>
      </c>
      <c r="H33" s="72">
        <f>63000*152*3</f>
        <v>28728000</v>
      </c>
    </row>
    <row r="34" spans="1:8" ht="18.75" customHeight="1">
      <c r="A34" s="71" t="s">
        <v>16</v>
      </c>
      <c r="B34" s="272" t="s">
        <v>31</v>
      </c>
      <c r="C34" s="273"/>
      <c r="D34" s="26">
        <f>SUM(D35:D36)</f>
        <v>137400</v>
      </c>
      <c r="E34" s="26">
        <f>E35+E36</f>
        <v>118840</v>
      </c>
      <c r="F34" s="36">
        <f>F35+F36</f>
        <v>18560</v>
      </c>
      <c r="G34" s="13" t="s">
        <v>16</v>
      </c>
      <c r="H34" s="73"/>
    </row>
    <row r="35" spans="1:8" ht="18.75" customHeight="1">
      <c r="A35" s="71" t="s">
        <v>16</v>
      </c>
      <c r="B35" s="17" t="s">
        <v>16</v>
      </c>
      <c r="C35" s="9" t="s">
        <v>32</v>
      </c>
      <c r="D35" s="20">
        <f>SUM(H35)/1000</f>
        <v>136080</v>
      </c>
      <c r="E35" s="20">
        <v>100800</v>
      </c>
      <c r="F35" s="34">
        <f>D35-E35</f>
        <v>35280</v>
      </c>
      <c r="G35" s="59" t="s">
        <v>300</v>
      </c>
      <c r="H35" s="77">
        <f>81000*140*12</f>
        <v>136080000</v>
      </c>
    </row>
    <row r="36" spans="1:8" ht="18.75" customHeight="1">
      <c r="A36" s="78" t="s">
        <v>16</v>
      </c>
      <c r="B36" s="12" t="s">
        <v>16</v>
      </c>
      <c r="C36" s="9" t="s">
        <v>33</v>
      </c>
      <c r="D36" s="20">
        <f>SUM(H36)/1000</f>
        <v>1320</v>
      </c>
      <c r="E36" s="20">
        <v>18040</v>
      </c>
      <c r="F36" s="34">
        <f>D36-E36</f>
        <v>-16720</v>
      </c>
      <c r="G36" s="59" t="s">
        <v>299</v>
      </c>
      <c r="H36" s="77">
        <f>20000*6*11</f>
        <v>1320000</v>
      </c>
    </row>
    <row r="37" spans="1:8" ht="18.75" customHeight="1">
      <c r="A37" s="71" t="s">
        <v>16</v>
      </c>
      <c r="B37" s="272" t="s">
        <v>34</v>
      </c>
      <c r="C37" s="273"/>
      <c r="D37" s="26">
        <f>SUM(D38:D39)</f>
        <v>45261</v>
      </c>
      <c r="E37" s="26">
        <f>E38+E39</f>
        <v>47264</v>
      </c>
      <c r="F37" s="36">
        <f>F38+F39</f>
        <v>-2003</v>
      </c>
      <c r="G37" s="13" t="s">
        <v>16</v>
      </c>
      <c r="H37" s="73"/>
    </row>
    <row r="38" spans="1:8" ht="18.75" customHeight="1">
      <c r="A38" s="71" t="s">
        <v>16</v>
      </c>
      <c r="B38" s="17" t="s">
        <v>16</v>
      </c>
      <c r="C38" s="9" t="s">
        <v>35</v>
      </c>
      <c r="D38" s="20">
        <f>H38/1000</f>
        <v>32528</v>
      </c>
      <c r="E38" s="20">
        <v>33971</v>
      </c>
      <c r="F38" s="34">
        <f>D38-E38</f>
        <v>-1443</v>
      </c>
      <c r="G38" s="15" t="s">
        <v>266</v>
      </c>
      <c r="H38" s="70">
        <f>1000*152*214</f>
        <v>32528000</v>
      </c>
    </row>
    <row r="39" spans="1:8" ht="18.75" customHeight="1">
      <c r="A39" s="71" t="s">
        <v>16</v>
      </c>
      <c r="B39" s="3" t="s">
        <v>16</v>
      </c>
      <c r="C39" s="4" t="s">
        <v>36</v>
      </c>
      <c r="D39" s="20">
        <f>H39/1000</f>
        <v>12733</v>
      </c>
      <c r="E39" s="27">
        <v>13293</v>
      </c>
      <c r="F39" s="37">
        <f>D39-E39</f>
        <v>-560</v>
      </c>
      <c r="G39" s="60" t="s">
        <v>264</v>
      </c>
      <c r="H39" s="79">
        <f>ROUNDUP(3500*17*214,-3)</f>
        <v>12733000</v>
      </c>
    </row>
    <row r="40" spans="1:8" ht="18.75" customHeight="1">
      <c r="A40" s="71" t="s">
        <v>16</v>
      </c>
      <c r="B40" s="272" t="s">
        <v>37</v>
      </c>
      <c r="C40" s="273"/>
      <c r="D40" s="26">
        <f>SUM(D41:D44)</f>
        <v>36288</v>
      </c>
      <c r="E40" s="26">
        <f>SUM(E41:E44)</f>
        <v>141488</v>
      </c>
      <c r="F40" s="36">
        <f>SUM(F41:F44)</f>
        <v>-105200</v>
      </c>
      <c r="G40" s="13" t="s">
        <v>16</v>
      </c>
      <c r="H40" s="73"/>
    </row>
    <row r="41" spans="1:8" ht="18.75" customHeight="1">
      <c r="A41" s="71" t="s">
        <v>16</v>
      </c>
      <c r="B41" s="17" t="s">
        <v>16</v>
      </c>
      <c r="C41" s="14" t="s">
        <v>38</v>
      </c>
      <c r="D41" s="20">
        <f>SUM(H41)/1000</f>
        <v>12768</v>
      </c>
      <c r="E41" s="20">
        <v>14168</v>
      </c>
      <c r="F41" s="34">
        <f>D41-E41</f>
        <v>-1400</v>
      </c>
      <c r="G41" s="132" t="s">
        <v>275</v>
      </c>
      <c r="H41" s="250">
        <f>ROUNDUP(14000*152*6,-3)</f>
        <v>12768000</v>
      </c>
    </row>
    <row r="42" spans="1:8" ht="18.75" customHeight="1">
      <c r="A42" s="274" t="s">
        <v>16</v>
      </c>
      <c r="B42" s="275" t="s">
        <v>16</v>
      </c>
      <c r="C42" s="4" t="s">
        <v>39</v>
      </c>
      <c r="D42" s="20">
        <f>SUM(H42)/1000</f>
        <v>5280</v>
      </c>
      <c r="E42" s="27">
        <v>0</v>
      </c>
      <c r="F42" s="37">
        <f>D42-E42</f>
        <v>5280</v>
      </c>
      <c r="G42" s="261" t="s">
        <v>276</v>
      </c>
      <c r="H42" s="262">
        <f>20000*22*12</f>
        <v>5280000</v>
      </c>
    </row>
    <row r="43" spans="1:8" ht="18.75" customHeight="1">
      <c r="A43" s="274"/>
      <c r="B43" s="275"/>
      <c r="C43" s="4" t="s">
        <v>40</v>
      </c>
      <c r="D43" s="27"/>
      <c r="E43" s="27"/>
      <c r="F43" s="37">
        <f>D43-E43</f>
        <v>0</v>
      </c>
      <c r="G43" s="4"/>
      <c r="H43" s="74"/>
    </row>
    <row r="44" spans="1:8" ht="18.75" customHeight="1">
      <c r="A44" s="274"/>
      <c r="B44" s="275"/>
      <c r="C44" s="23" t="s">
        <v>41</v>
      </c>
      <c r="D44" s="20">
        <f>SUM(H44)/1000</f>
        <v>18240</v>
      </c>
      <c r="E44" s="22">
        <v>127320</v>
      </c>
      <c r="F44" s="38">
        <f>D44-E44</f>
        <v>-109080</v>
      </c>
      <c r="G44" s="137" t="s">
        <v>279</v>
      </c>
      <c r="H44" s="251">
        <f>10000*152*12</f>
        <v>18240000</v>
      </c>
    </row>
    <row r="45" spans="1:8" ht="18.75" customHeight="1">
      <c r="A45" s="270" t="s">
        <v>42</v>
      </c>
      <c r="B45" s="271"/>
      <c r="C45" s="271"/>
      <c r="D45" s="28">
        <f>D46</f>
        <v>331553</v>
      </c>
      <c r="E45" s="28">
        <f>E46</f>
        <v>355749</v>
      </c>
      <c r="F45" s="39">
        <f>F46</f>
        <v>-24196</v>
      </c>
      <c r="G45" s="61" t="s">
        <v>16</v>
      </c>
      <c r="H45" s="80"/>
    </row>
    <row r="46" spans="1:8" ht="18.75" customHeight="1">
      <c r="A46" s="71" t="s">
        <v>16</v>
      </c>
      <c r="B46" s="272" t="s">
        <v>43</v>
      </c>
      <c r="C46" s="273"/>
      <c r="D46" s="26">
        <f>SUM(D47:D50)</f>
        <v>331553</v>
      </c>
      <c r="E46" s="26">
        <f>SUM(E47:E50)</f>
        <v>355749</v>
      </c>
      <c r="F46" s="36">
        <f>SUM(F47:F50)</f>
        <v>-24196</v>
      </c>
      <c r="G46" s="13" t="s">
        <v>16</v>
      </c>
      <c r="H46" s="73"/>
    </row>
    <row r="47" spans="1:8" ht="18.75" customHeight="1">
      <c r="A47" s="81" t="s">
        <v>16</v>
      </c>
      <c r="B47" s="17" t="s">
        <v>16</v>
      </c>
      <c r="C47" s="9" t="s">
        <v>43</v>
      </c>
      <c r="D47" s="20">
        <f>SUM(H47:H50)/1000</f>
        <v>331553</v>
      </c>
      <c r="E47" s="20">
        <v>355749</v>
      </c>
      <c r="F47" s="34">
        <f>D47-E47</f>
        <v>-24196</v>
      </c>
      <c r="G47" s="15" t="s">
        <v>301</v>
      </c>
      <c r="H47" s="70">
        <f>3612000*12</f>
        <v>43344000</v>
      </c>
    </row>
    <row r="48" spans="1:8" ht="18.75" customHeight="1">
      <c r="A48" s="81"/>
      <c r="B48" s="17"/>
      <c r="C48" s="10"/>
      <c r="D48" s="22"/>
      <c r="E48" s="22"/>
      <c r="F48" s="38">
        <f>D48-E48</f>
        <v>0</v>
      </c>
      <c r="G48" s="18" t="s">
        <v>302</v>
      </c>
      <c r="H48" s="75">
        <f>643000*12</f>
        <v>7716000</v>
      </c>
    </row>
    <row r="49" spans="1:8" ht="18.75" customHeight="1">
      <c r="A49" s="81"/>
      <c r="B49" s="17"/>
      <c r="C49" s="10"/>
      <c r="D49" s="22"/>
      <c r="E49" s="22"/>
      <c r="F49" s="38">
        <f>D49-E49</f>
        <v>0</v>
      </c>
      <c r="G49" s="18" t="s">
        <v>303</v>
      </c>
      <c r="H49" s="75">
        <f>1589000*12</f>
        <v>19068000</v>
      </c>
    </row>
    <row r="50" spans="1:8" ht="18.75" customHeight="1">
      <c r="A50" s="81"/>
      <c r="B50" s="3"/>
      <c r="C50" s="11"/>
      <c r="D50" s="21"/>
      <c r="E50" s="21"/>
      <c r="F50" s="35">
        <f>D50-E50</f>
        <v>0</v>
      </c>
      <c r="G50" s="16" t="s">
        <v>304</v>
      </c>
      <c r="H50" s="72">
        <f>ROUNDUP(21785410*12,-3)</f>
        <v>261425000</v>
      </c>
    </row>
    <row r="51" spans="1:8" ht="18.75" customHeight="1">
      <c r="A51" s="270" t="s">
        <v>44</v>
      </c>
      <c r="B51" s="271"/>
      <c r="C51" s="271"/>
      <c r="D51" s="28">
        <f>D52</f>
        <v>0</v>
      </c>
      <c r="E51" s="28">
        <f>E52</f>
        <v>0</v>
      </c>
      <c r="F51" s="39">
        <f>F52</f>
        <v>0</v>
      </c>
      <c r="G51" s="61" t="s">
        <v>16</v>
      </c>
      <c r="H51" s="80"/>
    </row>
    <row r="52" spans="1:8" ht="18.75" customHeight="1">
      <c r="A52" s="71" t="s">
        <v>16</v>
      </c>
      <c r="B52" s="272" t="s">
        <v>45</v>
      </c>
      <c r="C52" s="273"/>
      <c r="D52" s="26">
        <f>D53+D54</f>
        <v>0</v>
      </c>
      <c r="E52" s="26">
        <f>E53+E54</f>
        <v>0</v>
      </c>
      <c r="F52" s="36">
        <f>F53+F54</f>
        <v>0</v>
      </c>
      <c r="G52" s="13" t="s">
        <v>16</v>
      </c>
      <c r="H52" s="73"/>
    </row>
    <row r="53" spans="1:8" ht="18.75" customHeight="1">
      <c r="A53" s="71" t="s">
        <v>16</v>
      </c>
      <c r="B53" s="17" t="s">
        <v>16</v>
      </c>
      <c r="C53" s="4" t="s">
        <v>46</v>
      </c>
      <c r="D53" s="27"/>
      <c r="E53" s="27"/>
      <c r="F53" s="37">
        <f>D53-E53</f>
        <v>0</v>
      </c>
      <c r="G53" s="4" t="s">
        <v>16</v>
      </c>
      <c r="H53" s="74"/>
    </row>
    <row r="54" spans="1:8" ht="18.75" customHeight="1">
      <c r="A54" s="71" t="s">
        <v>16</v>
      </c>
      <c r="B54" s="17" t="s">
        <v>16</v>
      </c>
      <c r="C54" s="15" t="s">
        <v>47</v>
      </c>
      <c r="D54" s="20"/>
      <c r="E54" s="20"/>
      <c r="F54" s="34">
        <f>D54-E54</f>
        <v>0</v>
      </c>
      <c r="G54" s="15" t="s">
        <v>16</v>
      </c>
      <c r="H54" s="70"/>
    </row>
    <row r="55" spans="1:8" ht="18.75" customHeight="1">
      <c r="A55" s="284" t="s">
        <v>48</v>
      </c>
      <c r="B55" s="285"/>
      <c r="C55" s="285"/>
      <c r="D55" s="98">
        <f t="shared" ref="D55:F56" si="0">D56</f>
        <v>0</v>
      </c>
      <c r="E55" s="98">
        <f t="shared" si="0"/>
        <v>0</v>
      </c>
      <c r="F55" s="99">
        <f t="shared" si="0"/>
        <v>0</v>
      </c>
      <c r="G55" s="100" t="s">
        <v>16</v>
      </c>
      <c r="H55" s="101"/>
    </row>
    <row r="56" spans="1:8" ht="18.75" customHeight="1">
      <c r="A56" s="71" t="s">
        <v>16</v>
      </c>
      <c r="B56" s="272" t="s">
        <v>49</v>
      </c>
      <c r="C56" s="273"/>
      <c r="D56" s="26">
        <f t="shared" si="0"/>
        <v>0</v>
      </c>
      <c r="E56" s="26">
        <f t="shared" si="0"/>
        <v>0</v>
      </c>
      <c r="F56" s="36">
        <f t="shared" si="0"/>
        <v>0</v>
      </c>
      <c r="G56" s="13" t="s">
        <v>16</v>
      </c>
      <c r="H56" s="73"/>
    </row>
    <row r="57" spans="1:8" ht="18.75" customHeight="1">
      <c r="A57" s="82" t="s">
        <v>16</v>
      </c>
      <c r="B57" s="3" t="s">
        <v>16</v>
      </c>
      <c r="C57" s="4" t="s">
        <v>49</v>
      </c>
      <c r="D57" s="27"/>
      <c r="E57" s="27"/>
      <c r="F57" s="37">
        <f>D57-E57</f>
        <v>0</v>
      </c>
      <c r="G57" s="4"/>
      <c r="H57" s="74"/>
    </row>
    <row r="58" spans="1:8" ht="18.75" customHeight="1">
      <c r="A58" s="270" t="s">
        <v>50</v>
      </c>
      <c r="B58" s="271"/>
      <c r="C58" s="271"/>
      <c r="D58" s="28">
        <f>D59</f>
        <v>2558</v>
      </c>
      <c r="E58" s="28">
        <f>E59</f>
        <v>2280</v>
      </c>
      <c r="F58" s="39">
        <f>F59</f>
        <v>278</v>
      </c>
      <c r="G58" s="61" t="s">
        <v>16</v>
      </c>
      <c r="H58" s="80"/>
    </row>
    <row r="59" spans="1:8" ht="18.75" customHeight="1">
      <c r="A59" s="71" t="s">
        <v>16</v>
      </c>
      <c r="B59" s="272" t="s">
        <v>51</v>
      </c>
      <c r="C59" s="273"/>
      <c r="D59" s="26">
        <f>SUM(D60:D66)</f>
        <v>2558</v>
      </c>
      <c r="E59" s="26">
        <f>SUM(E60:E66)</f>
        <v>2280</v>
      </c>
      <c r="F59" s="36">
        <f>SUM(F60:F66)</f>
        <v>278</v>
      </c>
      <c r="G59" s="13" t="s">
        <v>16</v>
      </c>
      <c r="H59" s="73"/>
    </row>
    <row r="60" spans="1:8" ht="18.75" customHeight="1">
      <c r="A60" s="71" t="s">
        <v>16</v>
      </c>
      <c r="B60" s="17" t="s">
        <v>16</v>
      </c>
      <c r="C60" s="15" t="s">
        <v>52</v>
      </c>
      <c r="D60" s="20">
        <f>SUM(H60:H64)/1000</f>
        <v>2158</v>
      </c>
      <c r="E60" s="20">
        <v>1980</v>
      </c>
      <c r="F60" s="34">
        <f>D60-E60</f>
        <v>178</v>
      </c>
      <c r="G60" s="15" t="s">
        <v>306</v>
      </c>
      <c r="H60" s="70">
        <f>90000*12</f>
        <v>1080000</v>
      </c>
    </row>
    <row r="61" spans="1:8" ht="18.75" customHeight="1">
      <c r="A61" s="71"/>
      <c r="B61" s="17"/>
      <c r="C61" s="18"/>
      <c r="D61" s="22"/>
      <c r="E61" s="22"/>
      <c r="F61" s="38"/>
      <c r="G61" s="18" t="s">
        <v>307</v>
      </c>
      <c r="H61" s="75">
        <v>6000</v>
      </c>
    </row>
    <row r="62" spans="1:8" ht="18.75" customHeight="1">
      <c r="A62" s="71"/>
      <c r="B62" s="17"/>
      <c r="C62" s="18"/>
      <c r="D62" s="22"/>
      <c r="E62" s="22"/>
      <c r="F62" s="38"/>
      <c r="G62" s="18" t="s">
        <v>308</v>
      </c>
      <c r="H62" s="75">
        <v>12000</v>
      </c>
    </row>
    <row r="63" spans="1:8" ht="18.75" customHeight="1">
      <c r="A63" s="71"/>
      <c r="B63" s="17"/>
      <c r="C63" s="18"/>
      <c r="D63" s="22"/>
      <c r="E63" s="22"/>
      <c r="F63" s="38"/>
      <c r="G63" s="18" t="s">
        <v>309</v>
      </c>
      <c r="H63" s="75">
        <v>700000</v>
      </c>
    </row>
    <row r="64" spans="1:8" ht="18.75" customHeight="1">
      <c r="A64" s="71"/>
      <c r="B64" s="17"/>
      <c r="C64" s="7"/>
      <c r="D64" s="29"/>
      <c r="E64" s="29"/>
      <c r="F64" s="40">
        <f>D64-E64</f>
        <v>0</v>
      </c>
      <c r="G64" s="62" t="s">
        <v>305</v>
      </c>
      <c r="H64" s="83">
        <v>360000</v>
      </c>
    </row>
    <row r="65" spans="1:8" ht="18.75" customHeight="1">
      <c r="A65" s="71"/>
      <c r="B65" s="17"/>
      <c r="C65" s="18" t="s">
        <v>53</v>
      </c>
      <c r="D65" s="22">
        <f>H65/1000</f>
        <v>400</v>
      </c>
      <c r="E65" s="22">
        <v>300</v>
      </c>
      <c r="F65" s="38">
        <f>D65-E65</f>
        <v>100</v>
      </c>
      <c r="G65" s="18" t="s">
        <v>311</v>
      </c>
      <c r="H65" s="75">
        <f>ROUNDUP(33330*12,-3)</f>
        <v>400000</v>
      </c>
    </row>
    <row r="66" spans="1:8" ht="18.75" customHeight="1">
      <c r="A66" s="82" t="s">
        <v>16</v>
      </c>
      <c r="B66" s="16" t="s">
        <v>16</v>
      </c>
      <c r="C66" s="24" t="s">
        <v>54</v>
      </c>
      <c r="D66" s="30"/>
      <c r="E66" s="30"/>
      <c r="F66" s="41">
        <f>D66-E66</f>
        <v>0</v>
      </c>
      <c r="G66" s="57"/>
      <c r="H66" s="65"/>
    </row>
    <row r="67" spans="1:8" ht="18.75" customHeight="1">
      <c r="A67" s="270" t="s">
        <v>55</v>
      </c>
      <c r="B67" s="271"/>
      <c r="C67" s="286"/>
      <c r="D67" s="25">
        <f t="shared" ref="D67:F68" si="1">D68</f>
        <v>0</v>
      </c>
      <c r="E67" s="25">
        <f t="shared" si="1"/>
        <v>0</v>
      </c>
      <c r="F67" s="42">
        <f t="shared" si="1"/>
        <v>0</v>
      </c>
      <c r="G67" s="58" t="s">
        <v>16</v>
      </c>
      <c r="H67" s="76"/>
    </row>
    <row r="68" spans="1:8" ht="18.75" customHeight="1">
      <c r="A68" s="71" t="s">
        <v>16</v>
      </c>
      <c r="B68" s="272" t="s">
        <v>56</v>
      </c>
      <c r="C68" s="273"/>
      <c r="D68" s="26">
        <f t="shared" si="1"/>
        <v>0</v>
      </c>
      <c r="E68" s="26">
        <f t="shared" si="1"/>
        <v>0</v>
      </c>
      <c r="F68" s="36">
        <f t="shared" si="1"/>
        <v>0</v>
      </c>
      <c r="G68" s="13" t="s">
        <v>16</v>
      </c>
      <c r="H68" s="73"/>
    </row>
    <row r="69" spans="1:8" ht="18.75" customHeight="1">
      <c r="A69" s="71" t="s">
        <v>16</v>
      </c>
      <c r="B69" s="3" t="s">
        <v>16</v>
      </c>
      <c r="C69" s="4" t="s">
        <v>56</v>
      </c>
      <c r="D69" s="27"/>
      <c r="E69" s="27"/>
      <c r="F69" s="37">
        <f>D69-E69</f>
        <v>0</v>
      </c>
      <c r="G69" s="4" t="s">
        <v>16</v>
      </c>
      <c r="H69" s="74"/>
    </row>
    <row r="70" spans="1:8" ht="18.75" customHeight="1">
      <c r="A70" s="270" t="s">
        <v>57</v>
      </c>
      <c r="B70" s="271"/>
      <c r="C70" s="271"/>
      <c r="D70" s="28">
        <f t="shared" ref="D70:F71" si="2">D71</f>
        <v>0</v>
      </c>
      <c r="E70" s="28">
        <f t="shared" si="2"/>
        <v>0</v>
      </c>
      <c r="F70" s="39">
        <f t="shared" si="2"/>
        <v>0</v>
      </c>
      <c r="G70" s="61" t="s">
        <v>16</v>
      </c>
      <c r="H70" s="80"/>
    </row>
    <row r="71" spans="1:8" ht="18.75" customHeight="1">
      <c r="A71" s="71" t="s">
        <v>16</v>
      </c>
      <c r="B71" s="272" t="s">
        <v>58</v>
      </c>
      <c r="C71" s="273"/>
      <c r="D71" s="26">
        <f t="shared" si="2"/>
        <v>0</v>
      </c>
      <c r="E71" s="26">
        <f t="shared" si="2"/>
        <v>0</v>
      </c>
      <c r="F71" s="36">
        <f t="shared" si="2"/>
        <v>0</v>
      </c>
      <c r="G71" s="13" t="s">
        <v>16</v>
      </c>
      <c r="H71" s="73"/>
    </row>
    <row r="72" spans="1:8" ht="18.75" customHeight="1">
      <c r="A72" s="82" t="s">
        <v>16</v>
      </c>
      <c r="B72" s="3" t="s">
        <v>16</v>
      </c>
      <c r="C72" s="4" t="s">
        <v>58</v>
      </c>
      <c r="D72" s="27"/>
      <c r="E72" s="27"/>
      <c r="F72" s="37">
        <f>D72-E72</f>
        <v>0</v>
      </c>
      <c r="G72" s="4"/>
      <c r="H72" s="74"/>
    </row>
    <row r="73" spans="1:8" ht="18.75" customHeight="1">
      <c r="A73" s="270" t="s">
        <v>59</v>
      </c>
      <c r="B73" s="271"/>
      <c r="C73" s="271"/>
      <c r="D73" s="28">
        <f>D74</f>
        <v>300</v>
      </c>
      <c r="E73" s="28">
        <f>E74</f>
        <v>500</v>
      </c>
      <c r="F73" s="39">
        <f>F74</f>
        <v>-200</v>
      </c>
      <c r="G73" s="61" t="s">
        <v>16</v>
      </c>
      <c r="H73" s="80"/>
    </row>
    <row r="74" spans="1:8" ht="18.75" customHeight="1">
      <c r="A74" s="71" t="s">
        <v>16</v>
      </c>
      <c r="B74" s="272" t="s">
        <v>60</v>
      </c>
      <c r="C74" s="273"/>
      <c r="D74" s="26">
        <f>SUM(D75:D77)</f>
        <v>300</v>
      </c>
      <c r="E74" s="26">
        <f>SUM(E75:E77)</f>
        <v>500</v>
      </c>
      <c r="F74" s="36">
        <f>SUM(F75:F77)</f>
        <v>-200</v>
      </c>
      <c r="G74" s="13" t="s">
        <v>16</v>
      </c>
      <c r="H74" s="73"/>
    </row>
    <row r="75" spans="1:8" ht="18.75" customHeight="1">
      <c r="A75" s="71" t="s">
        <v>16</v>
      </c>
      <c r="B75" s="17" t="s">
        <v>16</v>
      </c>
      <c r="C75" s="4" t="s">
        <v>61</v>
      </c>
      <c r="D75" s="27"/>
      <c r="E75" s="27"/>
      <c r="F75" s="37">
        <f>D75-E75</f>
        <v>0</v>
      </c>
      <c r="G75" s="4" t="s">
        <v>16</v>
      </c>
      <c r="H75" s="74"/>
    </row>
    <row r="76" spans="1:8" ht="18.75" customHeight="1">
      <c r="A76" s="71" t="s">
        <v>16</v>
      </c>
      <c r="B76" s="17" t="s">
        <v>16</v>
      </c>
      <c r="C76" s="4" t="s">
        <v>62</v>
      </c>
      <c r="D76" s="27"/>
      <c r="E76" s="27"/>
      <c r="F76" s="37">
        <f>D76-E76</f>
        <v>0</v>
      </c>
      <c r="G76" s="4" t="s">
        <v>16</v>
      </c>
      <c r="H76" s="74"/>
    </row>
    <row r="77" spans="1:8" ht="18.75" customHeight="1" thickBot="1">
      <c r="A77" s="84" t="s">
        <v>16</v>
      </c>
      <c r="B77" s="5" t="s">
        <v>16</v>
      </c>
      <c r="C77" s="8" t="s">
        <v>63</v>
      </c>
      <c r="D77" s="31">
        <f>H77/1000</f>
        <v>300</v>
      </c>
      <c r="E77" s="31">
        <v>500</v>
      </c>
      <c r="F77" s="43">
        <f>D77-E77</f>
        <v>-200</v>
      </c>
      <c r="G77" s="8" t="s">
        <v>310</v>
      </c>
      <c r="H77" s="85">
        <v>300000</v>
      </c>
    </row>
    <row r="78" spans="1:8" ht="18.75" customHeight="1" thickTop="1">
      <c r="A78" s="282" t="s">
        <v>64</v>
      </c>
      <c r="B78" s="283"/>
      <c r="C78" s="283"/>
      <c r="D78" s="32">
        <f>D73+D70+D67+D58+D55+D51+D45+D27+D6</f>
        <v>1341688</v>
      </c>
      <c r="E78" s="32">
        <f>E73+E70+E67+E58+E55+E51+E45+E27+E6</f>
        <v>1456428</v>
      </c>
      <c r="F78" s="86">
        <f>F73+F70+F67+F58+F55+F51+F45+F27+F6</f>
        <v>-114740</v>
      </c>
      <c r="G78" s="87" t="s">
        <v>16</v>
      </c>
      <c r="H78" s="88"/>
    </row>
    <row r="79" spans="1:8" ht="18.75" customHeight="1">
      <c r="D79" s="248">
        <v>1341688</v>
      </c>
      <c r="E79" s="248">
        <v>1456428</v>
      </c>
      <c r="F79" s="249">
        <f>D79-E79</f>
        <v>-114740</v>
      </c>
      <c r="H79" s="252"/>
    </row>
    <row r="80" spans="1:8" ht="18.75" customHeight="1">
      <c r="D80" s="248">
        <f>D79-D78</f>
        <v>0</v>
      </c>
      <c r="E80" s="248">
        <f>E79-E78</f>
        <v>0</v>
      </c>
      <c r="F80" s="248">
        <f>F79-F78</f>
        <v>0</v>
      </c>
      <c r="H80" s="252"/>
    </row>
  </sheetData>
  <mergeCells count="34">
    <mergeCell ref="B34:C34"/>
    <mergeCell ref="B7:C7"/>
    <mergeCell ref="A12:A13"/>
    <mergeCell ref="B12:C12"/>
    <mergeCell ref="A9:A10"/>
    <mergeCell ref="B9:C9"/>
    <mergeCell ref="B28:C28"/>
    <mergeCell ref="B16:C16"/>
    <mergeCell ref="B20:C20"/>
    <mergeCell ref="A27:C27"/>
    <mergeCell ref="B74:C74"/>
    <mergeCell ref="A78:C78"/>
    <mergeCell ref="A55:C55"/>
    <mergeCell ref="B56:C56"/>
    <mergeCell ref="A58:C58"/>
    <mergeCell ref="B59:C59"/>
    <mergeCell ref="A67:C67"/>
    <mergeCell ref="B68:C68"/>
    <mergeCell ref="G4:H5"/>
    <mergeCell ref="A1:H1"/>
    <mergeCell ref="A70:C70"/>
    <mergeCell ref="B71:C71"/>
    <mergeCell ref="A73:C73"/>
    <mergeCell ref="B40:C40"/>
    <mergeCell ref="A45:C45"/>
    <mergeCell ref="B46:C46"/>
    <mergeCell ref="A51:C51"/>
    <mergeCell ref="B52:C52"/>
    <mergeCell ref="B37:C37"/>
    <mergeCell ref="A42:A44"/>
    <mergeCell ref="B42:B44"/>
    <mergeCell ref="A4:C4"/>
    <mergeCell ref="A6:C6"/>
    <mergeCell ref="A7:A8"/>
  </mergeCells>
  <phoneticPr fontId="7" type="noConversion"/>
  <printOptions horizontalCentered="1"/>
  <pageMargins left="0.39370078740157483" right="0.39370078740157483" top="0.98425196850393704" bottom="0.59055118110236227" header="0.31496062992125984" footer="0.23622047244094491"/>
  <pageSetup paperSize="9" scale="67" fitToHeight="0" orientation="portrait" r:id="rId1"/>
  <headerFooter alignWithMargins="0">
    <oddFooter>&amp;C&amp;8- &amp;P -</oddFooter>
  </headerFooter>
  <rowBreaks count="1" manualBreakCount="1">
    <brk id="5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7"/>
  <sheetViews>
    <sheetView showGridLines="0" zoomScaleNormal="100" workbookViewId="0">
      <selection sqref="A1:H1"/>
    </sheetView>
  </sheetViews>
  <sheetFormatPr defaultColWidth="10.28515625" defaultRowHeight="18.75" customHeight="1"/>
  <cols>
    <col min="1" max="2" width="4.5703125" style="114" customWidth="1"/>
    <col min="3" max="3" width="26.5703125" style="114" customWidth="1"/>
    <col min="4" max="5" width="12.85546875" style="115" customWidth="1"/>
    <col min="6" max="6" width="12.85546875" style="116" customWidth="1"/>
    <col min="7" max="7" width="48" style="148" customWidth="1"/>
    <col min="8" max="8" width="13.85546875" style="113" bestFit="1" customWidth="1"/>
    <col min="9" max="16384" width="10.28515625" style="110"/>
  </cols>
  <sheetData>
    <row r="1" spans="1:8" ht="41.25" customHeight="1">
      <c r="A1" s="295" t="s">
        <v>283</v>
      </c>
      <c r="B1" s="295"/>
      <c r="C1" s="295"/>
      <c r="D1" s="295"/>
      <c r="E1" s="295"/>
      <c r="F1" s="295"/>
      <c r="G1" s="295"/>
      <c r="H1" s="295"/>
    </row>
    <row r="2" spans="1:8" ht="18.75" customHeight="1">
      <c r="A2" s="111"/>
      <c r="B2" s="111"/>
      <c r="C2" s="111"/>
      <c r="D2" s="111"/>
      <c r="E2" s="111"/>
      <c r="F2" s="112"/>
      <c r="G2" s="111"/>
    </row>
    <row r="3" spans="1:8" ht="18.75" customHeight="1">
      <c r="G3" s="117"/>
      <c r="H3" s="117" t="s">
        <v>123</v>
      </c>
    </row>
    <row r="4" spans="1:8" ht="18.75" customHeight="1">
      <c r="A4" s="317" t="s">
        <v>65</v>
      </c>
      <c r="B4" s="318"/>
      <c r="C4" s="319"/>
      <c r="D4" s="89" t="s">
        <v>9</v>
      </c>
      <c r="E4" s="90" t="s">
        <v>285</v>
      </c>
      <c r="F4" s="96" t="s">
        <v>10</v>
      </c>
      <c r="G4" s="291" t="s">
        <v>66</v>
      </c>
      <c r="H4" s="292"/>
    </row>
    <row r="5" spans="1:8" ht="18.75" customHeight="1" thickBot="1">
      <c r="A5" s="118" t="s">
        <v>0</v>
      </c>
      <c r="B5" s="119" t="s">
        <v>1</v>
      </c>
      <c r="C5" s="119" t="s">
        <v>2</v>
      </c>
      <c r="D5" s="92" t="s">
        <v>12</v>
      </c>
      <c r="E5" s="95" t="s">
        <v>13</v>
      </c>
      <c r="F5" s="97" t="s">
        <v>14</v>
      </c>
      <c r="G5" s="293"/>
      <c r="H5" s="294"/>
    </row>
    <row r="6" spans="1:8" ht="18.75" customHeight="1" thickTop="1">
      <c r="A6" s="320" t="s">
        <v>67</v>
      </c>
      <c r="B6" s="313"/>
      <c r="C6" s="321"/>
      <c r="D6" s="120">
        <f>D7+D27+D46</f>
        <v>786104</v>
      </c>
      <c r="E6" s="120">
        <f>E7+E27+E46</f>
        <v>818975</v>
      </c>
      <c r="F6" s="121">
        <f>F7+F27+F46</f>
        <v>-32871</v>
      </c>
      <c r="G6" s="122" t="s">
        <v>16</v>
      </c>
      <c r="H6" s="123"/>
    </row>
    <row r="7" spans="1:8" ht="18.75" customHeight="1">
      <c r="A7" s="124" t="s">
        <v>16</v>
      </c>
      <c r="B7" s="300" t="s">
        <v>68</v>
      </c>
      <c r="C7" s="301"/>
      <c r="D7" s="125">
        <f>SUM(D8:D26)</f>
        <v>314145</v>
      </c>
      <c r="E7" s="125">
        <f>SUM(E8:E26)</f>
        <v>330038</v>
      </c>
      <c r="F7" s="126">
        <f>SUM(F8:F26)</f>
        <v>-15893</v>
      </c>
      <c r="G7" s="127" t="s">
        <v>16</v>
      </c>
      <c r="H7" s="128"/>
    </row>
    <row r="8" spans="1:8" ht="18.75" customHeight="1">
      <c r="A8" s="124"/>
      <c r="B8" s="314" t="s">
        <v>16</v>
      </c>
      <c r="C8" s="129" t="s">
        <v>69</v>
      </c>
      <c r="D8" s="130">
        <f>SUM(H8:H10)/1000</f>
        <v>219505</v>
      </c>
      <c r="E8" s="130">
        <v>219626</v>
      </c>
      <c r="F8" s="131">
        <f>D8-E8</f>
        <v>-121</v>
      </c>
      <c r="G8" s="132" t="s">
        <v>126</v>
      </c>
      <c r="H8" s="133">
        <f>ROUNDUP(3361900*5*12,-3)</f>
        <v>201714000</v>
      </c>
    </row>
    <row r="9" spans="1:8" ht="18.75" customHeight="1">
      <c r="A9" s="124"/>
      <c r="B9" s="314"/>
      <c r="C9" s="134"/>
      <c r="D9" s="135"/>
      <c r="E9" s="135"/>
      <c r="F9" s="136"/>
      <c r="G9" s="137" t="s">
        <v>124</v>
      </c>
      <c r="H9" s="138">
        <f>ROUNDUP(1474300*5*2,-3)</f>
        <v>14743000</v>
      </c>
    </row>
    <row r="10" spans="1:8" ht="18.75" customHeight="1">
      <c r="A10" s="124"/>
      <c r="B10" s="314"/>
      <c r="C10" s="139"/>
      <c r="D10" s="140"/>
      <c r="E10" s="140"/>
      <c r="F10" s="141"/>
      <c r="G10" s="142" t="s">
        <v>125</v>
      </c>
      <c r="H10" s="143">
        <f>ROUNDUP(50800*5*12,-3)</f>
        <v>3048000</v>
      </c>
    </row>
    <row r="11" spans="1:8" ht="18.75" customHeight="1">
      <c r="A11" s="124"/>
      <c r="B11" s="314"/>
      <c r="C11" s="134" t="s">
        <v>70</v>
      </c>
      <c r="D11" s="144">
        <f>SUM(H11:H16)/1000</f>
        <v>16018</v>
      </c>
      <c r="E11" s="144">
        <v>39108</v>
      </c>
      <c r="F11" s="145">
        <f>D11-E11</f>
        <v>-23090</v>
      </c>
      <c r="G11" s="137" t="s">
        <v>127</v>
      </c>
      <c r="H11" s="138">
        <f>203000*12</f>
        <v>2436000</v>
      </c>
    </row>
    <row r="12" spans="1:8" ht="18.75" customHeight="1">
      <c r="A12" s="124"/>
      <c r="B12" s="314"/>
      <c r="C12" s="134"/>
      <c r="D12" s="144"/>
      <c r="E12" s="144"/>
      <c r="F12" s="145"/>
      <c r="G12" s="146" t="s">
        <v>128</v>
      </c>
      <c r="H12" s="147">
        <f>401000*1*12</f>
        <v>4812000</v>
      </c>
    </row>
    <row r="13" spans="1:8" ht="18.75" customHeight="1">
      <c r="A13" s="124"/>
      <c r="B13" s="314"/>
      <c r="C13" s="134"/>
      <c r="D13" s="144"/>
      <c r="E13" s="144"/>
      <c r="F13" s="145"/>
      <c r="G13" s="148" t="s">
        <v>129</v>
      </c>
      <c r="H13" s="138">
        <f>70000*1*12</f>
        <v>840000</v>
      </c>
    </row>
    <row r="14" spans="1:8" ht="18.75" customHeight="1">
      <c r="A14" s="124"/>
      <c r="B14" s="314"/>
      <c r="C14" s="134"/>
      <c r="D14" s="144"/>
      <c r="E14" s="144"/>
      <c r="F14" s="145"/>
      <c r="G14" s="148" t="s">
        <v>130</v>
      </c>
      <c r="H14" s="138">
        <f>ROUNDUP(90200*4*12,-3)</f>
        <v>4330000</v>
      </c>
    </row>
    <row r="15" spans="1:8" ht="18.75" customHeight="1">
      <c r="A15" s="124"/>
      <c r="B15" s="314"/>
      <c r="C15" s="134"/>
      <c r="D15" s="144"/>
      <c r="E15" s="144"/>
      <c r="F15" s="145"/>
      <c r="G15" s="148" t="s">
        <v>131</v>
      </c>
      <c r="H15" s="138">
        <f>ROUNDUP(15000*4*12,-3)</f>
        <v>720000</v>
      </c>
    </row>
    <row r="16" spans="1:8" ht="18.75" customHeight="1">
      <c r="A16" s="124"/>
      <c r="B16" s="314"/>
      <c r="C16" s="134"/>
      <c r="D16" s="144"/>
      <c r="E16" s="144"/>
      <c r="F16" s="145"/>
      <c r="G16" s="137" t="s">
        <v>138</v>
      </c>
      <c r="H16" s="138">
        <f>48000*5*12</f>
        <v>2880000</v>
      </c>
    </row>
    <row r="17" spans="1:8" ht="18.75" customHeight="1">
      <c r="A17" s="124"/>
      <c r="B17" s="314"/>
      <c r="C17" s="129" t="s">
        <v>71</v>
      </c>
      <c r="D17" s="130">
        <f>SUM(H17:H22)/1000</f>
        <v>55942</v>
      </c>
      <c r="E17" s="130">
        <v>49016</v>
      </c>
      <c r="F17" s="131">
        <f>D17-E17</f>
        <v>6926</v>
      </c>
      <c r="G17" s="132" t="s">
        <v>132</v>
      </c>
      <c r="H17" s="133">
        <v>2400000</v>
      </c>
    </row>
    <row r="18" spans="1:8" ht="18.75" customHeight="1">
      <c r="A18" s="124"/>
      <c r="B18" s="314"/>
      <c r="C18" s="134"/>
      <c r="D18" s="144"/>
      <c r="E18" s="144"/>
      <c r="F18" s="145"/>
      <c r="G18" s="137" t="s">
        <v>133</v>
      </c>
      <c r="H18" s="138">
        <f>ROUNDUP(1863500*5*2,-3)</f>
        <v>18635000</v>
      </c>
    </row>
    <row r="19" spans="1:8" ht="18.75" customHeight="1">
      <c r="A19" s="124"/>
      <c r="B19" s="314"/>
      <c r="C19" s="134"/>
      <c r="D19" s="135"/>
      <c r="E19" s="135"/>
      <c r="F19" s="136"/>
      <c r="G19" s="149" t="s">
        <v>134</v>
      </c>
      <c r="H19" s="138">
        <f>ROUNDUP(3983400*5*1,-3)</f>
        <v>19917000</v>
      </c>
    </row>
    <row r="20" spans="1:8" ht="18.75" customHeight="1">
      <c r="A20" s="124"/>
      <c r="B20" s="314"/>
      <c r="C20" s="134"/>
      <c r="D20" s="144"/>
      <c r="E20" s="144"/>
      <c r="F20" s="145"/>
      <c r="G20" s="137" t="s">
        <v>135</v>
      </c>
      <c r="H20" s="138">
        <f>ROUNDUP(240550*3*12,-3)</f>
        <v>8660000</v>
      </c>
    </row>
    <row r="21" spans="1:8" ht="18.75" customHeight="1">
      <c r="A21" s="124"/>
      <c r="B21" s="314"/>
      <c r="C21" s="134"/>
      <c r="D21" s="144"/>
      <c r="E21" s="144"/>
      <c r="F21" s="145"/>
      <c r="G21" s="137" t="s">
        <v>136</v>
      </c>
      <c r="H21" s="138">
        <f>2835000*2</f>
        <v>5670000</v>
      </c>
    </row>
    <row r="22" spans="1:8" ht="18.75" customHeight="1">
      <c r="A22" s="124"/>
      <c r="B22" s="314"/>
      <c r="C22" s="134"/>
      <c r="D22" s="144"/>
      <c r="E22" s="144"/>
      <c r="F22" s="145"/>
      <c r="G22" s="137" t="s">
        <v>137</v>
      </c>
      <c r="H22" s="138">
        <f>55000*12</f>
        <v>660000</v>
      </c>
    </row>
    <row r="23" spans="1:8" ht="18.75" customHeight="1">
      <c r="A23" s="124"/>
      <c r="B23" s="314"/>
      <c r="C23" s="129" t="s">
        <v>72</v>
      </c>
      <c r="D23" s="130">
        <f>SUM(H23:H26)/1000</f>
        <v>22680</v>
      </c>
      <c r="E23" s="130">
        <v>22288</v>
      </c>
      <c r="F23" s="131">
        <f>D23-E23</f>
        <v>392</v>
      </c>
      <c r="G23" s="132" t="s">
        <v>139</v>
      </c>
      <c r="H23" s="133">
        <f>ROUNDUP(248400*5*12,-3)</f>
        <v>14904000</v>
      </c>
    </row>
    <row r="24" spans="1:8" ht="18.75" customHeight="1">
      <c r="A24" s="124"/>
      <c r="B24" s="314"/>
      <c r="C24" s="134"/>
      <c r="D24" s="144"/>
      <c r="E24" s="144"/>
      <c r="F24" s="145"/>
      <c r="G24" s="137" t="s">
        <v>140</v>
      </c>
      <c r="H24" s="138">
        <f>100000*5*12</f>
        <v>6000000</v>
      </c>
    </row>
    <row r="25" spans="1:8" ht="18.75" customHeight="1">
      <c r="A25" s="124"/>
      <c r="B25" s="314"/>
      <c r="C25" s="134"/>
      <c r="D25" s="144"/>
      <c r="E25" s="144"/>
      <c r="F25" s="145"/>
      <c r="G25" s="137" t="s">
        <v>141</v>
      </c>
      <c r="H25" s="138">
        <f>10400*5*12</f>
        <v>624000</v>
      </c>
    </row>
    <row r="26" spans="1:8" ht="18.75" customHeight="1">
      <c r="A26" s="124"/>
      <c r="B26" s="314"/>
      <c r="C26" s="150"/>
      <c r="D26" s="144"/>
      <c r="E26" s="144"/>
      <c r="F26" s="145"/>
      <c r="G26" s="137" t="s">
        <v>142</v>
      </c>
      <c r="H26" s="138">
        <f>ROUNDUP(19200*5*12,-3)</f>
        <v>1152000</v>
      </c>
    </row>
    <row r="27" spans="1:8" ht="18.75" customHeight="1">
      <c r="A27" s="124"/>
      <c r="B27" s="300" t="s">
        <v>73</v>
      </c>
      <c r="C27" s="301"/>
      <c r="D27" s="125">
        <f>SUM(D28:D45)</f>
        <v>201326</v>
      </c>
      <c r="E27" s="125">
        <f>SUM(E28:E45)</f>
        <v>87436</v>
      </c>
      <c r="F27" s="126">
        <f>SUM(F28:F45)</f>
        <v>113890</v>
      </c>
      <c r="G27" s="127" t="s">
        <v>16</v>
      </c>
      <c r="H27" s="128"/>
    </row>
    <row r="28" spans="1:8" ht="18.75" customHeight="1">
      <c r="A28" s="124"/>
      <c r="B28" s="151" t="s">
        <v>16</v>
      </c>
      <c r="C28" s="129" t="s">
        <v>69</v>
      </c>
      <c r="D28" s="130">
        <f>SUM(H28:H30)/1000</f>
        <v>123153</v>
      </c>
      <c r="E28" s="130">
        <v>55308</v>
      </c>
      <c r="F28" s="131">
        <f>D28-E28</f>
        <v>67845</v>
      </c>
      <c r="G28" s="132" t="s">
        <v>143</v>
      </c>
      <c r="H28" s="133">
        <f>ROUNDUP(4617660*2*12,-3)</f>
        <v>110824000</v>
      </c>
    </row>
    <row r="29" spans="1:8" ht="18.75" customHeight="1">
      <c r="A29" s="124"/>
      <c r="B29" s="151"/>
      <c r="C29" s="134"/>
      <c r="D29" s="144"/>
      <c r="E29" s="144"/>
      <c r="F29" s="145"/>
      <c r="G29" s="137" t="s">
        <v>144</v>
      </c>
      <c r="H29" s="138">
        <f>ROUNDUP(2332250*2*2,-3)</f>
        <v>9329000</v>
      </c>
    </row>
    <row r="30" spans="1:8" ht="18.75" customHeight="1">
      <c r="A30" s="124"/>
      <c r="B30" s="151"/>
      <c r="C30" s="150"/>
      <c r="D30" s="152"/>
      <c r="E30" s="152"/>
      <c r="F30" s="153"/>
      <c r="G30" s="142" t="s">
        <v>146</v>
      </c>
      <c r="H30" s="143">
        <f>125000*2*12</f>
        <v>3000000</v>
      </c>
    </row>
    <row r="31" spans="1:8" ht="18.75" customHeight="1">
      <c r="A31" s="124"/>
      <c r="B31" s="151"/>
      <c r="C31" s="154" t="s">
        <v>70</v>
      </c>
      <c r="D31" s="130">
        <f>SUM(H31:H35)/1000</f>
        <v>12814</v>
      </c>
      <c r="E31" s="130">
        <v>13781</v>
      </c>
      <c r="F31" s="131">
        <f>D31-E31</f>
        <v>-967</v>
      </c>
      <c r="G31" s="137" t="s">
        <v>147</v>
      </c>
      <c r="H31" s="138">
        <f>220000*12</f>
        <v>2640000</v>
      </c>
    </row>
    <row r="32" spans="1:8" ht="18.75" customHeight="1">
      <c r="A32" s="124"/>
      <c r="B32" s="151"/>
      <c r="C32" s="155"/>
      <c r="D32" s="144"/>
      <c r="E32" s="144"/>
      <c r="F32" s="145"/>
      <c r="G32" s="146" t="s">
        <v>148</v>
      </c>
      <c r="H32" s="147">
        <f>469000*3</f>
        <v>1407000</v>
      </c>
    </row>
    <row r="33" spans="1:8" ht="18.75" customHeight="1">
      <c r="A33" s="124"/>
      <c r="B33" s="151"/>
      <c r="C33" s="155"/>
      <c r="D33" s="144"/>
      <c r="E33" s="144"/>
      <c r="F33" s="145"/>
      <c r="G33" s="146" t="s">
        <v>149</v>
      </c>
      <c r="H33" s="147">
        <f>899000*3</f>
        <v>2697000</v>
      </c>
    </row>
    <row r="34" spans="1:8" ht="18.75" customHeight="1">
      <c r="A34" s="124"/>
      <c r="B34" s="151"/>
      <c r="C34" s="155"/>
      <c r="D34" s="144"/>
      <c r="E34" s="144"/>
      <c r="F34" s="145"/>
      <c r="G34" s="146" t="s">
        <v>150</v>
      </c>
      <c r="H34" s="147">
        <f>ROUNDUP(458330*12,-3)</f>
        <v>5500000</v>
      </c>
    </row>
    <row r="35" spans="1:8" ht="18.75" customHeight="1">
      <c r="A35" s="124"/>
      <c r="B35" s="151"/>
      <c r="C35" s="155"/>
      <c r="D35" s="144"/>
      <c r="E35" s="144"/>
      <c r="F35" s="145"/>
      <c r="G35" s="148" t="s">
        <v>181</v>
      </c>
      <c r="H35" s="138">
        <f>ROUNDUP(47500*12,-3)</f>
        <v>570000</v>
      </c>
    </row>
    <row r="36" spans="1:8" ht="18.75" customHeight="1">
      <c r="A36" s="124"/>
      <c r="B36" s="151"/>
      <c r="C36" s="154" t="s">
        <v>71</v>
      </c>
      <c r="D36" s="130">
        <f>SUM(H36:H41)/1000</f>
        <v>41743</v>
      </c>
      <c r="E36" s="130">
        <v>8583</v>
      </c>
      <c r="F36" s="156">
        <f>D36-E36</f>
        <v>33160</v>
      </c>
      <c r="G36" s="157" t="s">
        <v>182</v>
      </c>
      <c r="H36" s="158">
        <f>750000*12</f>
        <v>9000000</v>
      </c>
    </row>
    <row r="37" spans="1:8" ht="18.75" customHeight="1">
      <c r="A37" s="124"/>
      <c r="B37" s="151"/>
      <c r="C37" s="155"/>
      <c r="D37" s="144"/>
      <c r="E37" s="144"/>
      <c r="F37" s="159"/>
      <c r="G37" s="160" t="s">
        <v>204</v>
      </c>
      <c r="H37" s="138">
        <f>130000*2*12</f>
        <v>3120000</v>
      </c>
    </row>
    <row r="38" spans="1:8" ht="18.75" customHeight="1">
      <c r="A38" s="124"/>
      <c r="B38" s="151"/>
      <c r="C38" s="155"/>
      <c r="D38" s="144"/>
      <c r="E38" s="144"/>
      <c r="F38" s="159"/>
      <c r="G38" s="160" t="s">
        <v>183</v>
      </c>
      <c r="H38" s="138">
        <f>ROUNDUP(2827750*2*2,-3)</f>
        <v>11311000</v>
      </c>
    </row>
    <row r="39" spans="1:8" ht="18.75" customHeight="1">
      <c r="A39" s="124"/>
      <c r="B39" s="151"/>
      <c r="C39" s="155"/>
      <c r="D39" s="144"/>
      <c r="E39" s="144"/>
      <c r="F39" s="159"/>
      <c r="G39" s="160" t="s">
        <v>184</v>
      </c>
      <c r="H39" s="138">
        <v>3993000</v>
      </c>
    </row>
    <row r="40" spans="1:8" ht="18.75" customHeight="1">
      <c r="A40" s="124"/>
      <c r="B40" s="151"/>
      <c r="C40" s="155"/>
      <c r="D40" s="144"/>
      <c r="E40" s="144"/>
      <c r="F40" s="159"/>
      <c r="G40" s="160" t="s">
        <v>185</v>
      </c>
      <c r="H40" s="138">
        <f>ROUNDUP(4324500*2,-3)</f>
        <v>8649000</v>
      </c>
    </row>
    <row r="41" spans="1:8" ht="18.75" customHeight="1">
      <c r="A41" s="124"/>
      <c r="B41" s="151"/>
      <c r="C41" s="134"/>
      <c r="D41" s="144"/>
      <c r="E41" s="144"/>
      <c r="F41" s="159"/>
      <c r="G41" s="161" t="s">
        <v>136</v>
      </c>
      <c r="H41" s="143">
        <f>2835000*2</f>
        <v>5670000</v>
      </c>
    </row>
    <row r="42" spans="1:8" ht="18.75" customHeight="1">
      <c r="A42" s="124"/>
      <c r="B42" s="151"/>
      <c r="C42" s="129" t="s">
        <v>72</v>
      </c>
      <c r="D42" s="130">
        <f>SUM(H42:H45)/1000</f>
        <v>23616</v>
      </c>
      <c r="E42" s="130">
        <v>9764</v>
      </c>
      <c r="F42" s="131">
        <f>D42-E42</f>
        <v>13852</v>
      </c>
      <c r="G42" s="137" t="s">
        <v>177</v>
      </c>
      <c r="H42" s="138">
        <f>ROUNDUP(674000*2*12,-3)</f>
        <v>16176000</v>
      </c>
    </row>
    <row r="43" spans="1:8" ht="18.75" customHeight="1">
      <c r="A43" s="124"/>
      <c r="B43" s="151"/>
      <c r="C43" s="134"/>
      <c r="D43" s="144"/>
      <c r="E43" s="144"/>
      <c r="F43" s="145"/>
      <c r="G43" s="137" t="s">
        <v>178</v>
      </c>
      <c r="H43" s="138">
        <f>ROUNDUP(253000*2*12,-3)</f>
        <v>6072000</v>
      </c>
    </row>
    <row r="44" spans="1:8" ht="18.75" customHeight="1">
      <c r="A44" s="124"/>
      <c r="B44" s="151"/>
      <c r="C44" s="134"/>
      <c r="D44" s="144"/>
      <c r="E44" s="144"/>
      <c r="F44" s="145"/>
      <c r="G44" s="137" t="s">
        <v>179</v>
      </c>
      <c r="H44" s="138">
        <f>ROUNDUP(26000*2*12,-3)</f>
        <v>624000</v>
      </c>
    </row>
    <row r="45" spans="1:8" ht="18.75" customHeight="1">
      <c r="A45" s="124"/>
      <c r="B45" s="162"/>
      <c r="C45" s="139"/>
      <c r="D45" s="140"/>
      <c r="E45" s="140"/>
      <c r="F45" s="141"/>
      <c r="G45" s="142" t="s">
        <v>180</v>
      </c>
      <c r="H45" s="143">
        <f>ROUNDUP(31000*2*12,-3)</f>
        <v>744000</v>
      </c>
    </row>
    <row r="46" spans="1:8" ht="18.75" customHeight="1">
      <c r="A46" s="124"/>
      <c r="B46" s="315" t="s">
        <v>74</v>
      </c>
      <c r="C46" s="316"/>
      <c r="D46" s="163">
        <f>SUM(D47:D92)</f>
        <v>270633</v>
      </c>
      <c r="E46" s="163">
        <f>SUM(E47:E92)</f>
        <v>401501</v>
      </c>
      <c r="F46" s="164">
        <f>SUM(F47:F92)</f>
        <v>-130868</v>
      </c>
      <c r="G46" s="165"/>
      <c r="H46" s="166"/>
    </row>
    <row r="47" spans="1:8" ht="18.75" customHeight="1">
      <c r="A47" s="124"/>
      <c r="B47" s="151" t="s">
        <v>16</v>
      </c>
      <c r="C47" s="129" t="s">
        <v>75</v>
      </c>
      <c r="D47" s="130">
        <f>SUM(H47:H92)/1000</f>
        <v>270633</v>
      </c>
      <c r="E47" s="144">
        <v>401501</v>
      </c>
      <c r="F47" s="145">
        <f>D47-E47</f>
        <v>-130868</v>
      </c>
      <c r="G47" s="132" t="s">
        <v>145</v>
      </c>
      <c r="H47" s="133">
        <f>1824000*2*12</f>
        <v>43776000</v>
      </c>
    </row>
    <row r="48" spans="1:8" ht="18.75" customHeight="1">
      <c r="A48" s="124"/>
      <c r="B48" s="151"/>
      <c r="C48" s="134"/>
      <c r="D48" s="144"/>
      <c r="E48" s="144"/>
      <c r="F48" s="145"/>
      <c r="G48" s="137" t="s">
        <v>151</v>
      </c>
      <c r="H48" s="138">
        <f>130000*2*12</f>
        <v>3120000</v>
      </c>
    </row>
    <row r="49" spans="1:8" ht="18.75" customHeight="1">
      <c r="A49" s="124"/>
      <c r="B49" s="151"/>
      <c r="C49" s="134"/>
      <c r="D49" s="144"/>
      <c r="E49" s="144"/>
      <c r="F49" s="145"/>
      <c r="G49" s="137" t="s">
        <v>152</v>
      </c>
      <c r="H49" s="138">
        <f>500000*2*2</f>
        <v>2000000</v>
      </c>
    </row>
    <row r="50" spans="1:8" ht="18.75" customHeight="1">
      <c r="A50" s="124"/>
      <c r="B50" s="151"/>
      <c r="C50" s="134"/>
      <c r="D50" s="144"/>
      <c r="E50" s="144"/>
      <c r="F50" s="145"/>
      <c r="G50" s="137" t="s">
        <v>153</v>
      </c>
      <c r="H50" s="138">
        <f>ROUNDUP(966660*3,-3)</f>
        <v>2900000</v>
      </c>
    </row>
    <row r="51" spans="1:8" ht="18.75" customHeight="1">
      <c r="A51" s="124"/>
      <c r="B51" s="151"/>
      <c r="C51" s="134"/>
      <c r="D51" s="144"/>
      <c r="E51" s="144"/>
      <c r="F51" s="145"/>
      <c r="G51" s="137" t="s">
        <v>154</v>
      </c>
      <c r="H51" s="138">
        <f>ROUNDUP(61250*2*12,-3)</f>
        <v>1470000</v>
      </c>
    </row>
    <row r="52" spans="1:8" ht="18.75" customHeight="1">
      <c r="A52" s="124"/>
      <c r="B52" s="151"/>
      <c r="C52" s="134"/>
      <c r="D52" s="144"/>
      <c r="E52" s="144"/>
      <c r="F52" s="145"/>
      <c r="G52" s="137" t="s">
        <v>155</v>
      </c>
      <c r="H52" s="138">
        <f>100000*12</f>
        <v>1200000</v>
      </c>
    </row>
    <row r="53" spans="1:8" ht="18.75" customHeight="1">
      <c r="A53" s="124"/>
      <c r="B53" s="151"/>
      <c r="C53" s="134"/>
      <c r="D53" s="144"/>
      <c r="E53" s="144"/>
      <c r="F53" s="145"/>
      <c r="G53" s="137" t="s">
        <v>156</v>
      </c>
      <c r="H53" s="138">
        <f>ROUNDUP(24950*2*12,-3)</f>
        <v>599000</v>
      </c>
    </row>
    <row r="54" spans="1:8" ht="18.75" customHeight="1">
      <c r="A54" s="167"/>
      <c r="B54" s="162"/>
      <c r="C54" s="139"/>
      <c r="D54" s="140"/>
      <c r="E54" s="140"/>
      <c r="F54" s="141"/>
      <c r="G54" s="142" t="s">
        <v>157</v>
      </c>
      <c r="H54" s="143">
        <f>450000*2*2</f>
        <v>1800000</v>
      </c>
    </row>
    <row r="55" spans="1:8" ht="18.75" customHeight="1">
      <c r="A55" s="168"/>
      <c r="B55" s="169"/>
      <c r="C55" s="170"/>
      <c r="D55" s="171"/>
      <c r="E55" s="171"/>
      <c r="F55" s="172"/>
      <c r="G55" s="173" t="s">
        <v>169</v>
      </c>
      <c r="H55" s="158">
        <f>ROUNDUP(2550000*2,-3)</f>
        <v>5100000</v>
      </c>
    </row>
    <row r="56" spans="1:8" ht="18.75" customHeight="1">
      <c r="A56" s="124"/>
      <c r="B56" s="151"/>
      <c r="C56" s="134"/>
      <c r="D56" s="144"/>
      <c r="E56" s="144"/>
      <c r="F56" s="145"/>
      <c r="G56" s="174" t="s">
        <v>170</v>
      </c>
      <c r="H56" s="138">
        <f>ROUNDUP(127000*2*12,-3)</f>
        <v>3048000</v>
      </c>
    </row>
    <row r="57" spans="1:8" ht="18.75" customHeight="1">
      <c r="A57" s="124"/>
      <c r="B57" s="151"/>
      <c r="C57" s="134"/>
      <c r="D57" s="144"/>
      <c r="E57" s="144"/>
      <c r="F57" s="145"/>
      <c r="G57" s="174" t="s">
        <v>171</v>
      </c>
      <c r="H57" s="138">
        <f>ROUNDUP(77000*2*12,-3)</f>
        <v>1848000</v>
      </c>
    </row>
    <row r="58" spans="1:8" ht="18.75" customHeight="1">
      <c r="A58" s="124"/>
      <c r="B58" s="151"/>
      <c r="C58" s="134"/>
      <c r="D58" s="144"/>
      <c r="E58" s="144"/>
      <c r="F58" s="145"/>
      <c r="G58" s="174" t="s">
        <v>172</v>
      </c>
      <c r="H58" s="138">
        <f>ROUNDUP(8000*2*12,-3)</f>
        <v>192000</v>
      </c>
    </row>
    <row r="59" spans="1:8" ht="18.75" customHeight="1">
      <c r="A59" s="124"/>
      <c r="B59" s="151"/>
      <c r="C59" s="134"/>
      <c r="D59" s="144"/>
      <c r="E59" s="144"/>
      <c r="F59" s="145"/>
      <c r="G59" s="174" t="s">
        <v>173</v>
      </c>
      <c r="H59" s="138">
        <f>ROUNDUP(37000*2*12,-3)</f>
        <v>888000</v>
      </c>
    </row>
    <row r="60" spans="1:8" ht="18.75" customHeight="1">
      <c r="A60" s="124"/>
      <c r="B60" s="151"/>
      <c r="C60" s="134"/>
      <c r="D60" s="144"/>
      <c r="E60" s="144"/>
      <c r="F60" s="145"/>
      <c r="G60" s="174" t="s">
        <v>174</v>
      </c>
      <c r="H60" s="138">
        <f>ROUNDUP(23500*2*12,-3)</f>
        <v>564000</v>
      </c>
    </row>
    <row r="61" spans="1:8" ht="18.75" customHeight="1">
      <c r="A61" s="124"/>
      <c r="B61" s="151"/>
      <c r="C61" s="134"/>
      <c r="D61" s="144"/>
      <c r="E61" s="144"/>
      <c r="F61" s="145"/>
      <c r="G61" s="175" t="s">
        <v>158</v>
      </c>
      <c r="H61" s="138">
        <f>ROUNDUP(2181710*3*12,-3)</f>
        <v>78542000</v>
      </c>
    </row>
    <row r="62" spans="1:8" ht="18.75" customHeight="1">
      <c r="A62" s="124"/>
      <c r="B62" s="151"/>
      <c r="C62" s="134"/>
      <c r="D62" s="144"/>
      <c r="E62" s="144"/>
      <c r="F62" s="145"/>
      <c r="G62" s="175" t="s">
        <v>175</v>
      </c>
      <c r="H62" s="138">
        <f>ROUNDUP(354830*3*2,-3)</f>
        <v>2129000</v>
      </c>
    </row>
    <row r="63" spans="1:8" ht="18.75" customHeight="1">
      <c r="A63" s="124"/>
      <c r="B63" s="151"/>
      <c r="C63" s="134"/>
      <c r="D63" s="144"/>
      <c r="E63" s="144"/>
      <c r="F63" s="145"/>
      <c r="G63" s="175" t="s">
        <v>159</v>
      </c>
      <c r="H63" s="138">
        <f>ROUNDUP(20000*12,-3)</f>
        <v>240000</v>
      </c>
    </row>
    <row r="64" spans="1:8" ht="18.75" customHeight="1">
      <c r="A64" s="124"/>
      <c r="B64" s="151"/>
      <c r="C64" s="134"/>
      <c r="D64" s="144"/>
      <c r="E64" s="144"/>
      <c r="F64" s="145"/>
      <c r="G64" s="175" t="s">
        <v>160</v>
      </c>
      <c r="H64" s="138">
        <f>ROUNDUP(2356700*3,-3)</f>
        <v>7071000</v>
      </c>
    </row>
    <row r="65" spans="1:8" ht="18.75" customHeight="1">
      <c r="A65" s="124"/>
      <c r="B65" s="151"/>
      <c r="C65" s="134"/>
      <c r="D65" s="144"/>
      <c r="E65" s="144"/>
      <c r="F65" s="145"/>
      <c r="G65" s="175" t="s">
        <v>161</v>
      </c>
      <c r="H65" s="138">
        <f>ROUNDUP(40000*12,-3)</f>
        <v>480000</v>
      </c>
    </row>
    <row r="66" spans="1:8" ht="18.75" customHeight="1">
      <c r="A66" s="124"/>
      <c r="B66" s="151"/>
      <c r="C66" s="134"/>
      <c r="D66" s="144"/>
      <c r="E66" s="144"/>
      <c r="F66" s="145"/>
      <c r="G66" s="175" t="s">
        <v>162</v>
      </c>
      <c r="H66" s="138">
        <f>ROUNDUP(112870*3*12,-3)</f>
        <v>4064000</v>
      </c>
    </row>
    <row r="67" spans="1:8" ht="18.75" customHeight="1">
      <c r="A67" s="124"/>
      <c r="B67" s="151"/>
      <c r="C67" s="134"/>
      <c r="D67" s="144"/>
      <c r="E67" s="144"/>
      <c r="F67" s="145"/>
      <c r="G67" s="175" t="s">
        <v>176</v>
      </c>
      <c r="H67" s="138">
        <f>ROUNDUP(1388830*3*2,-3)</f>
        <v>8333000</v>
      </c>
    </row>
    <row r="68" spans="1:8" ht="18.75" customHeight="1">
      <c r="A68" s="124"/>
      <c r="B68" s="151"/>
      <c r="C68" s="134"/>
      <c r="D68" s="144"/>
      <c r="E68" s="144"/>
      <c r="F68" s="145"/>
      <c r="G68" s="175" t="s">
        <v>163</v>
      </c>
      <c r="H68" s="138">
        <f>ROUNDUP(65000*3*12,-3)</f>
        <v>2340000</v>
      </c>
    </row>
    <row r="69" spans="1:8" ht="18.75" customHeight="1">
      <c r="A69" s="124"/>
      <c r="B69" s="151"/>
      <c r="C69" s="134"/>
      <c r="D69" s="144"/>
      <c r="E69" s="144"/>
      <c r="F69" s="145"/>
      <c r="G69" s="175" t="s">
        <v>164</v>
      </c>
      <c r="H69" s="138">
        <f>ROUNDUP(3733330*3,-3)</f>
        <v>11200000</v>
      </c>
    </row>
    <row r="70" spans="1:8" ht="18.75" customHeight="1">
      <c r="A70" s="124"/>
      <c r="B70" s="151"/>
      <c r="C70" s="134"/>
      <c r="D70" s="144"/>
      <c r="E70" s="144"/>
      <c r="F70" s="145"/>
      <c r="G70" s="175" t="s">
        <v>165</v>
      </c>
      <c r="H70" s="138">
        <f>ROUNDUP(157840*3*12,-3)</f>
        <v>5683000</v>
      </c>
    </row>
    <row r="71" spans="1:8" ht="18.75" customHeight="1">
      <c r="A71" s="124"/>
      <c r="B71" s="151"/>
      <c r="C71" s="134"/>
      <c r="D71" s="144"/>
      <c r="E71" s="144"/>
      <c r="F71" s="145"/>
      <c r="G71" s="175" t="s">
        <v>166</v>
      </c>
      <c r="H71" s="138">
        <f>ROUNDUP(57590*3*12,-3)</f>
        <v>2074000</v>
      </c>
    </row>
    <row r="72" spans="1:8" ht="18.75" customHeight="1">
      <c r="A72" s="124"/>
      <c r="B72" s="151"/>
      <c r="C72" s="134"/>
      <c r="D72" s="144"/>
      <c r="E72" s="144"/>
      <c r="F72" s="145"/>
      <c r="G72" s="175" t="s">
        <v>205</v>
      </c>
      <c r="H72" s="138">
        <f>ROUNDUP(5950*3*12,-3)</f>
        <v>215000</v>
      </c>
    </row>
    <row r="73" spans="1:8" ht="18.75" customHeight="1">
      <c r="A73" s="124"/>
      <c r="B73" s="151"/>
      <c r="C73" s="134"/>
      <c r="D73" s="144"/>
      <c r="E73" s="144"/>
      <c r="F73" s="145"/>
      <c r="G73" s="175" t="s">
        <v>167</v>
      </c>
      <c r="H73" s="138">
        <f>ROUNDUP(46100*3*12,-3)</f>
        <v>1660000</v>
      </c>
    </row>
    <row r="74" spans="1:8" ht="18.75" customHeight="1">
      <c r="A74" s="124"/>
      <c r="B74" s="151"/>
      <c r="C74" s="134"/>
      <c r="D74" s="144"/>
      <c r="E74" s="144"/>
      <c r="F74" s="145"/>
      <c r="G74" s="175" t="s">
        <v>168</v>
      </c>
      <c r="H74" s="138">
        <f>ROUNDUP(28780*3*12,-3)</f>
        <v>1037000</v>
      </c>
    </row>
    <row r="75" spans="1:8" ht="18.75" customHeight="1">
      <c r="A75" s="124"/>
      <c r="B75" s="151"/>
      <c r="C75" s="134"/>
      <c r="D75" s="144"/>
      <c r="E75" s="144"/>
      <c r="F75" s="145"/>
      <c r="G75" s="175" t="s">
        <v>195</v>
      </c>
      <c r="H75" s="138">
        <f>ROUNDUP(2132590*12,-3)</f>
        <v>25592000</v>
      </c>
    </row>
    <row r="76" spans="1:8" ht="18.75" customHeight="1">
      <c r="A76" s="124"/>
      <c r="B76" s="151"/>
      <c r="C76" s="134"/>
      <c r="D76" s="144"/>
      <c r="E76" s="144"/>
      <c r="F76" s="145"/>
      <c r="G76" s="175" t="s">
        <v>186</v>
      </c>
      <c r="H76" s="138">
        <f>ROUNDUP(112870*12,-3)</f>
        <v>1355000</v>
      </c>
    </row>
    <row r="77" spans="1:8" ht="18.75" customHeight="1">
      <c r="A77" s="124"/>
      <c r="B77" s="151"/>
      <c r="C77" s="134"/>
      <c r="D77" s="144"/>
      <c r="E77" s="144"/>
      <c r="F77" s="145"/>
      <c r="G77" s="175" t="s">
        <v>187</v>
      </c>
      <c r="H77" s="138">
        <f>ROUNDUP(1358590*2,-3)</f>
        <v>2718000</v>
      </c>
    </row>
    <row r="78" spans="1:8" ht="18.75" customHeight="1">
      <c r="A78" s="124"/>
      <c r="B78" s="151"/>
      <c r="C78" s="134"/>
      <c r="D78" s="144"/>
      <c r="E78" s="144"/>
      <c r="F78" s="145"/>
      <c r="G78" s="175" t="s">
        <v>188</v>
      </c>
      <c r="H78" s="138">
        <f>70000*12</f>
        <v>840000</v>
      </c>
    </row>
    <row r="79" spans="1:8" ht="18.75" customHeight="1">
      <c r="A79" s="124"/>
      <c r="B79" s="151"/>
      <c r="C79" s="134"/>
      <c r="D79" s="144"/>
      <c r="E79" s="144"/>
      <c r="F79" s="145"/>
      <c r="G79" s="175" t="s">
        <v>189</v>
      </c>
      <c r="H79" s="138">
        <v>3100000</v>
      </c>
    </row>
    <row r="80" spans="1:8" ht="18.75" customHeight="1">
      <c r="A80" s="124"/>
      <c r="B80" s="151"/>
      <c r="C80" s="134"/>
      <c r="D80" s="144"/>
      <c r="E80" s="144"/>
      <c r="F80" s="145"/>
      <c r="G80" s="175" t="s">
        <v>190</v>
      </c>
      <c r="H80" s="138">
        <f>ROUNDUP(139770*12,-3)</f>
        <v>1678000</v>
      </c>
    </row>
    <row r="81" spans="1:8" ht="18.75" customHeight="1">
      <c r="A81" s="124"/>
      <c r="B81" s="151"/>
      <c r="C81" s="134"/>
      <c r="D81" s="144"/>
      <c r="E81" s="144"/>
      <c r="F81" s="145"/>
      <c r="G81" s="175" t="s">
        <v>191</v>
      </c>
      <c r="H81" s="138">
        <f>ROUNDUP(50850*12,-3)</f>
        <v>611000</v>
      </c>
    </row>
    <row r="82" spans="1:8" ht="18.75" customHeight="1">
      <c r="A82" s="124"/>
      <c r="B82" s="151"/>
      <c r="C82" s="134"/>
      <c r="D82" s="144"/>
      <c r="E82" s="144"/>
      <c r="F82" s="145"/>
      <c r="G82" s="175" t="s">
        <v>192</v>
      </c>
      <c r="H82" s="138">
        <f>ROUNDUP(5210*12,-3)</f>
        <v>63000</v>
      </c>
    </row>
    <row r="83" spans="1:8" ht="18.75" customHeight="1">
      <c r="A83" s="124"/>
      <c r="B83" s="151"/>
      <c r="C83" s="134"/>
      <c r="D83" s="144"/>
      <c r="E83" s="144"/>
      <c r="F83" s="145"/>
      <c r="G83" s="175" t="s">
        <v>193</v>
      </c>
      <c r="H83" s="138">
        <f>ROUNDUP(40660*12,-3)</f>
        <v>488000</v>
      </c>
    </row>
    <row r="84" spans="1:8" ht="18.75" customHeight="1">
      <c r="A84" s="124"/>
      <c r="B84" s="151"/>
      <c r="C84" s="134"/>
      <c r="D84" s="144"/>
      <c r="E84" s="144"/>
      <c r="F84" s="145"/>
      <c r="G84" s="175" t="s">
        <v>194</v>
      </c>
      <c r="H84" s="138">
        <f>ROUNDUP(25410*12,-3)</f>
        <v>305000</v>
      </c>
    </row>
    <row r="85" spans="1:8" ht="18.75" customHeight="1">
      <c r="A85" s="124"/>
      <c r="B85" s="151"/>
      <c r="C85" s="134"/>
      <c r="D85" s="144"/>
      <c r="E85" s="144"/>
      <c r="F85" s="145"/>
      <c r="G85" s="175" t="s">
        <v>196</v>
      </c>
      <c r="H85" s="138">
        <f>ROUNDUP(2681000*12,-3)</f>
        <v>32172000</v>
      </c>
    </row>
    <row r="86" spans="1:8" ht="18.75" customHeight="1">
      <c r="A86" s="124"/>
      <c r="B86" s="151"/>
      <c r="C86" s="134"/>
      <c r="D86" s="144"/>
      <c r="E86" s="144"/>
      <c r="F86" s="145"/>
      <c r="G86" s="175" t="s">
        <v>197</v>
      </c>
      <c r="H86" s="138">
        <f>130000*12</f>
        <v>1560000</v>
      </c>
    </row>
    <row r="87" spans="1:8" ht="18.75" customHeight="1">
      <c r="A87" s="124"/>
      <c r="B87" s="151"/>
      <c r="C87" s="134"/>
      <c r="D87" s="144"/>
      <c r="E87" s="144"/>
      <c r="F87" s="145"/>
      <c r="G87" s="175" t="s">
        <v>198</v>
      </c>
      <c r="H87" s="138">
        <v>3100000</v>
      </c>
    </row>
    <row r="88" spans="1:8" ht="18.75" customHeight="1">
      <c r="A88" s="124"/>
      <c r="B88" s="151"/>
      <c r="C88" s="134"/>
      <c r="D88" s="144"/>
      <c r="E88" s="144"/>
      <c r="F88" s="145"/>
      <c r="G88" s="175" t="s">
        <v>199</v>
      </c>
      <c r="H88" s="138">
        <f>ROUNDUP(154570*12,-3)</f>
        <v>1855000</v>
      </c>
    </row>
    <row r="89" spans="1:8" ht="18.75" customHeight="1">
      <c r="A89" s="124"/>
      <c r="B89" s="151"/>
      <c r="C89" s="134"/>
      <c r="D89" s="144"/>
      <c r="E89" s="144"/>
      <c r="F89" s="145"/>
      <c r="G89" s="175" t="s">
        <v>200</v>
      </c>
      <c r="H89" s="138">
        <f>ROUNDUP(56230*12,-3)</f>
        <v>675000</v>
      </c>
    </row>
    <row r="90" spans="1:8" ht="18.75" customHeight="1">
      <c r="A90" s="124"/>
      <c r="B90" s="151"/>
      <c r="C90" s="134"/>
      <c r="D90" s="144"/>
      <c r="E90" s="144"/>
      <c r="F90" s="145"/>
      <c r="G90" s="175" t="s">
        <v>201</v>
      </c>
      <c r="H90" s="138">
        <f>ROUNDUP(5760*12,-3)</f>
        <v>70000</v>
      </c>
    </row>
    <row r="91" spans="1:8" ht="18.75" customHeight="1">
      <c r="A91" s="124"/>
      <c r="B91" s="151"/>
      <c r="C91" s="134"/>
      <c r="D91" s="144"/>
      <c r="E91" s="144"/>
      <c r="F91" s="145"/>
      <c r="G91" s="175" t="s">
        <v>202</v>
      </c>
      <c r="H91" s="138">
        <f>ROUNDUP(44960*12,-3)</f>
        <v>540000</v>
      </c>
    </row>
    <row r="92" spans="1:8" ht="18.75" customHeight="1">
      <c r="A92" s="124"/>
      <c r="B92" s="151"/>
      <c r="C92" s="134"/>
      <c r="D92" s="144"/>
      <c r="E92" s="144"/>
      <c r="F92" s="145"/>
      <c r="G92" s="175" t="s">
        <v>203</v>
      </c>
      <c r="H92" s="138">
        <f>ROUNDUP(28100*12,-3)</f>
        <v>338000</v>
      </c>
    </row>
    <row r="93" spans="1:8" ht="18.75" customHeight="1">
      <c r="A93" s="298" t="s">
        <v>76</v>
      </c>
      <c r="B93" s="299"/>
      <c r="C93" s="299"/>
      <c r="D93" s="176">
        <f>D94+D129</f>
        <v>60077</v>
      </c>
      <c r="E93" s="176">
        <f>E94+E129</f>
        <v>67306</v>
      </c>
      <c r="F93" s="177">
        <f>F94+F129</f>
        <v>-7229</v>
      </c>
      <c r="G93" s="178" t="s">
        <v>16</v>
      </c>
      <c r="H93" s="179"/>
    </row>
    <row r="94" spans="1:8" ht="18.75" customHeight="1">
      <c r="A94" s="124" t="s">
        <v>16</v>
      </c>
      <c r="B94" s="300" t="s">
        <v>77</v>
      </c>
      <c r="C94" s="301"/>
      <c r="D94" s="125">
        <f>SUM(D95:D128)</f>
        <v>53967</v>
      </c>
      <c r="E94" s="125">
        <f>SUM(E95:E128)</f>
        <v>60498</v>
      </c>
      <c r="F94" s="126">
        <f>SUM(F95:F128)</f>
        <v>-6531</v>
      </c>
      <c r="G94" s="127" t="s">
        <v>16</v>
      </c>
      <c r="H94" s="128"/>
    </row>
    <row r="95" spans="1:8" ht="18.75" customHeight="1">
      <c r="A95" s="124"/>
      <c r="B95" s="151" t="s">
        <v>16</v>
      </c>
      <c r="C95" s="129" t="s">
        <v>78</v>
      </c>
      <c r="D95" s="130">
        <f>SUM(H95:H104)/1000</f>
        <v>19740</v>
      </c>
      <c r="E95" s="144">
        <f>31442+720</f>
        <v>32162</v>
      </c>
      <c r="F95" s="145">
        <f>D95-E95</f>
        <v>-12422</v>
      </c>
      <c r="G95" s="132" t="s">
        <v>237</v>
      </c>
      <c r="H95" s="133">
        <f>ROUNDUP(70000*4,-3)</f>
        <v>280000</v>
      </c>
    </row>
    <row r="96" spans="1:8" ht="18.75" customHeight="1">
      <c r="A96" s="124"/>
      <c r="B96" s="151"/>
      <c r="C96" s="134"/>
      <c r="D96" s="144"/>
      <c r="E96" s="144"/>
      <c r="F96" s="145"/>
      <c r="G96" s="137" t="s">
        <v>209</v>
      </c>
      <c r="H96" s="138">
        <f>6500*10</f>
        <v>65000</v>
      </c>
    </row>
    <row r="97" spans="1:8" ht="18.75" customHeight="1">
      <c r="A97" s="124"/>
      <c r="B97" s="151"/>
      <c r="C97" s="134"/>
      <c r="D97" s="144"/>
      <c r="E97" s="144"/>
      <c r="F97" s="145"/>
      <c r="G97" s="137" t="s">
        <v>238</v>
      </c>
      <c r="H97" s="138">
        <f>80000*12</f>
        <v>960000</v>
      </c>
    </row>
    <row r="98" spans="1:8" ht="18.75" customHeight="1">
      <c r="A98" s="124"/>
      <c r="B98" s="151"/>
      <c r="C98" s="134"/>
      <c r="D98" s="144"/>
      <c r="E98" s="144"/>
      <c r="F98" s="145"/>
      <c r="G98" s="137" t="s">
        <v>210</v>
      </c>
      <c r="H98" s="138">
        <f>ROUNDUP(898700*7,-3)</f>
        <v>6291000</v>
      </c>
    </row>
    <row r="99" spans="1:8" ht="18.75" customHeight="1">
      <c r="A99" s="124"/>
      <c r="B99" s="151"/>
      <c r="C99" s="134"/>
      <c r="D99" s="144"/>
      <c r="E99" s="144"/>
      <c r="F99" s="145"/>
      <c r="G99" s="137" t="s">
        <v>281</v>
      </c>
      <c r="H99" s="138">
        <f>50000*12</f>
        <v>600000</v>
      </c>
    </row>
    <row r="100" spans="1:8" ht="18.75" customHeight="1">
      <c r="A100" s="124"/>
      <c r="B100" s="151"/>
      <c r="C100" s="134"/>
      <c r="D100" s="144"/>
      <c r="E100" s="144"/>
      <c r="F100" s="145"/>
      <c r="G100" s="137" t="s">
        <v>211</v>
      </c>
      <c r="H100" s="138">
        <v>500000</v>
      </c>
    </row>
    <row r="101" spans="1:8" ht="18.75" customHeight="1">
      <c r="A101" s="124"/>
      <c r="B101" s="151"/>
      <c r="C101" s="134"/>
      <c r="D101" s="144"/>
      <c r="E101" s="144"/>
      <c r="F101" s="145"/>
      <c r="G101" s="146" t="s">
        <v>206</v>
      </c>
      <c r="H101" s="147">
        <f>25000*2</f>
        <v>50000</v>
      </c>
    </row>
    <row r="102" spans="1:8" ht="18.75" customHeight="1">
      <c r="A102" s="124"/>
      <c r="B102" s="151"/>
      <c r="C102" s="134"/>
      <c r="D102" s="144"/>
      <c r="E102" s="144"/>
      <c r="F102" s="145"/>
      <c r="G102" s="137" t="s">
        <v>212</v>
      </c>
      <c r="H102" s="138">
        <f>162500*4</f>
        <v>650000</v>
      </c>
    </row>
    <row r="103" spans="1:8" ht="18.75" customHeight="1">
      <c r="A103" s="124"/>
      <c r="B103" s="151"/>
      <c r="C103" s="134"/>
      <c r="D103" s="144"/>
      <c r="E103" s="144"/>
      <c r="F103" s="145"/>
      <c r="G103" s="137" t="s">
        <v>207</v>
      </c>
      <c r="H103" s="138">
        <v>4000000</v>
      </c>
    </row>
    <row r="104" spans="1:8" ht="18.75" customHeight="1">
      <c r="A104" s="124"/>
      <c r="B104" s="151"/>
      <c r="C104" s="134"/>
      <c r="D104" s="144"/>
      <c r="E104" s="144"/>
      <c r="F104" s="145"/>
      <c r="G104" s="137" t="s">
        <v>208</v>
      </c>
      <c r="H104" s="138">
        <f>26000*244</f>
        <v>6344000</v>
      </c>
    </row>
    <row r="105" spans="1:8" ht="18.75" customHeight="1">
      <c r="A105" s="180"/>
      <c r="B105" s="180"/>
      <c r="C105" s="181" t="s">
        <v>79</v>
      </c>
      <c r="D105" s="182">
        <f>SUM(H105:H121)/1000</f>
        <v>21519</v>
      </c>
      <c r="E105" s="182">
        <v>14757</v>
      </c>
      <c r="F105" s="131">
        <f t="shared" ref="F105" si="0">D105-E105</f>
        <v>6762</v>
      </c>
      <c r="G105" s="183" t="s">
        <v>218</v>
      </c>
      <c r="H105" s="158">
        <f>ROUNDUP(4400,-3)</f>
        <v>5000</v>
      </c>
    </row>
    <row r="106" spans="1:8" ht="18.75" customHeight="1">
      <c r="A106" s="124"/>
      <c r="B106" s="151"/>
      <c r="C106" s="184"/>
      <c r="D106" s="144"/>
      <c r="E106" s="144"/>
      <c r="F106" s="145"/>
      <c r="G106" s="137" t="s">
        <v>219</v>
      </c>
      <c r="H106" s="138">
        <f>100000*12</f>
        <v>1200000</v>
      </c>
    </row>
    <row r="107" spans="1:8" ht="18.75" customHeight="1">
      <c r="A107" s="167"/>
      <c r="B107" s="162"/>
      <c r="C107" s="185"/>
      <c r="D107" s="140"/>
      <c r="E107" s="140"/>
      <c r="F107" s="141"/>
      <c r="G107" s="142" t="s">
        <v>220</v>
      </c>
      <c r="H107" s="143">
        <f>110000*12</f>
        <v>1320000</v>
      </c>
    </row>
    <row r="108" spans="1:8" ht="18.75" customHeight="1">
      <c r="A108" s="168"/>
      <c r="B108" s="169"/>
      <c r="C108" s="181"/>
      <c r="D108" s="171"/>
      <c r="E108" s="171"/>
      <c r="F108" s="172"/>
      <c r="G108" s="183" t="s">
        <v>221</v>
      </c>
      <c r="H108" s="158">
        <f>70000*6</f>
        <v>420000</v>
      </c>
    </row>
    <row r="109" spans="1:8" ht="18.75" customHeight="1">
      <c r="A109" s="124"/>
      <c r="B109" s="151"/>
      <c r="C109" s="184"/>
      <c r="D109" s="144"/>
      <c r="E109" s="144"/>
      <c r="F109" s="145"/>
      <c r="G109" s="137" t="s">
        <v>222</v>
      </c>
      <c r="H109" s="138">
        <f>50000</f>
        <v>50000</v>
      </c>
    </row>
    <row r="110" spans="1:8" ht="18.75" customHeight="1">
      <c r="A110" s="124"/>
      <c r="B110" s="151"/>
      <c r="C110" s="184"/>
      <c r="D110" s="144"/>
      <c r="E110" s="144"/>
      <c r="F110" s="145"/>
      <c r="G110" s="137" t="s">
        <v>223</v>
      </c>
      <c r="H110" s="138">
        <f>110000*2*12</f>
        <v>2640000</v>
      </c>
    </row>
    <row r="111" spans="1:8" ht="18.75" customHeight="1">
      <c r="A111" s="124"/>
      <c r="B111" s="151"/>
      <c r="C111" s="184"/>
      <c r="D111" s="144"/>
      <c r="E111" s="144"/>
      <c r="F111" s="145"/>
      <c r="G111" s="137" t="s">
        <v>224</v>
      </c>
      <c r="H111" s="138">
        <f>120000*12</f>
        <v>1440000</v>
      </c>
    </row>
    <row r="112" spans="1:8" ht="18.75" customHeight="1">
      <c r="A112" s="124"/>
      <c r="B112" s="151"/>
      <c r="C112" s="184"/>
      <c r="D112" s="144"/>
      <c r="E112" s="144"/>
      <c r="F112" s="145"/>
      <c r="G112" s="137" t="s">
        <v>213</v>
      </c>
      <c r="H112" s="138">
        <f>44000*12</f>
        <v>528000</v>
      </c>
    </row>
    <row r="113" spans="1:8" ht="18.75" customHeight="1">
      <c r="A113" s="124"/>
      <c r="B113" s="151"/>
      <c r="C113" s="184"/>
      <c r="D113" s="144"/>
      <c r="E113" s="144"/>
      <c r="F113" s="145"/>
      <c r="G113" s="137" t="s">
        <v>214</v>
      </c>
      <c r="H113" s="138">
        <f>15000*12</f>
        <v>180000</v>
      </c>
    </row>
    <row r="114" spans="1:8" ht="18.75" customHeight="1">
      <c r="A114" s="124"/>
      <c r="B114" s="151"/>
      <c r="C114" s="184"/>
      <c r="D114" s="144"/>
      <c r="E114" s="144"/>
      <c r="F114" s="145"/>
      <c r="G114" s="137" t="s">
        <v>225</v>
      </c>
      <c r="H114" s="138">
        <v>30000</v>
      </c>
    </row>
    <row r="115" spans="1:8" ht="18.75" customHeight="1">
      <c r="A115" s="124"/>
      <c r="B115" s="151"/>
      <c r="C115" s="184"/>
      <c r="D115" s="144"/>
      <c r="E115" s="144"/>
      <c r="F115" s="145"/>
      <c r="G115" s="137" t="s">
        <v>226</v>
      </c>
      <c r="H115" s="138">
        <v>2500000</v>
      </c>
    </row>
    <row r="116" spans="1:8" ht="18.75" customHeight="1">
      <c r="A116" s="124"/>
      <c r="B116" s="151"/>
      <c r="C116" s="184"/>
      <c r="D116" s="144"/>
      <c r="E116" s="144"/>
      <c r="F116" s="145"/>
      <c r="G116" s="137" t="s">
        <v>227</v>
      </c>
      <c r="H116" s="138">
        <v>50000</v>
      </c>
    </row>
    <row r="117" spans="1:8" ht="18.75" customHeight="1">
      <c r="A117" s="124"/>
      <c r="B117" s="151"/>
      <c r="C117" s="184"/>
      <c r="D117" s="144"/>
      <c r="E117" s="144"/>
      <c r="F117" s="145"/>
      <c r="G117" s="137" t="s">
        <v>228</v>
      </c>
      <c r="H117" s="138">
        <f>650000*12</f>
        <v>7800000</v>
      </c>
    </row>
    <row r="118" spans="1:8" ht="18.75" customHeight="1">
      <c r="A118" s="124"/>
      <c r="B118" s="151"/>
      <c r="C118" s="184"/>
      <c r="D118" s="144"/>
      <c r="E118" s="144"/>
      <c r="F118" s="145"/>
      <c r="G118" s="137" t="s">
        <v>215</v>
      </c>
      <c r="H118" s="138">
        <f>28000*12</f>
        <v>336000</v>
      </c>
    </row>
    <row r="119" spans="1:8" ht="18.75" customHeight="1">
      <c r="A119" s="124"/>
      <c r="B119" s="151"/>
      <c r="C119" s="184"/>
      <c r="D119" s="144"/>
      <c r="E119" s="144"/>
      <c r="F119" s="145"/>
      <c r="G119" s="186" t="s">
        <v>216</v>
      </c>
      <c r="H119" s="147">
        <f>85000*12</f>
        <v>1020000</v>
      </c>
    </row>
    <row r="120" spans="1:8" ht="18.75" customHeight="1">
      <c r="A120" s="124"/>
      <c r="B120" s="151"/>
      <c r="C120" s="184"/>
      <c r="D120" s="144"/>
      <c r="E120" s="144"/>
      <c r="F120" s="145"/>
      <c r="G120" s="149" t="s">
        <v>229</v>
      </c>
      <c r="H120" s="138">
        <v>680000</v>
      </c>
    </row>
    <row r="121" spans="1:8" ht="18.75" customHeight="1">
      <c r="A121" s="124"/>
      <c r="B121" s="151"/>
      <c r="C121" s="184"/>
      <c r="D121" s="187"/>
      <c r="E121" s="187"/>
      <c r="F121" s="188"/>
      <c r="G121" s="189" t="s">
        <v>217</v>
      </c>
      <c r="H121" s="190">
        <f>55000*2*12</f>
        <v>1320000</v>
      </c>
    </row>
    <row r="122" spans="1:8" ht="18.75" customHeight="1">
      <c r="A122" s="124"/>
      <c r="B122" s="151"/>
      <c r="C122" s="129" t="s">
        <v>80</v>
      </c>
      <c r="D122" s="130">
        <f>SUM(H122:H125)/1000</f>
        <v>3840</v>
      </c>
      <c r="E122" s="130">
        <v>4535</v>
      </c>
      <c r="F122" s="131">
        <f t="shared" ref="F122:F128" si="1">D122-E122</f>
        <v>-695</v>
      </c>
      <c r="G122" s="191" t="s">
        <v>230</v>
      </c>
      <c r="H122" s="133">
        <f>60000*12</f>
        <v>720000</v>
      </c>
    </row>
    <row r="123" spans="1:8" ht="18.75" customHeight="1">
      <c r="A123" s="124"/>
      <c r="B123" s="151"/>
      <c r="C123" s="134"/>
      <c r="D123" s="144"/>
      <c r="E123" s="144"/>
      <c r="F123" s="145"/>
      <c r="G123" s="192" t="s">
        <v>231</v>
      </c>
      <c r="H123" s="138">
        <f>220000*6</f>
        <v>1320000</v>
      </c>
    </row>
    <row r="124" spans="1:8" ht="18.75" customHeight="1">
      <c r="A124" s="124"/>
      <c r="B124" s="151"/>
      <c r="C124" s="134"/>
      <c r="D124" s="144"/>
      <c r="E124" s="144"/>
      <c r="F124" s="145"/>
      <c r="G124" s="192" t="s">
        <v>232</v>
      </c>
      <c r="H124" s="138">
        <f>125000*12</f>
        <v>1500000</v>
      </c>
    </row>
    <row r="125" spans="1:8" ht="18.75" customHeight="1">
      <c r="A125" s="124"/>
      <c r="B125" s="151"/>
      <c r="C125" s="134"/>
      <c r="D125" s="144"/>
      <c r="E125" s="144"/>
      <c r="F125" s="145"/>
      <c r="G125" s="192" t="s">
        <v>233</v>
      </c>
      <c r="H125" s="138">
        <f>25000*12</f>
        <v>300000</v>
      </c>
    </row>
    <row r="126" spans="1:8" ht="18.75" customHeight="1">
      <c r="A126" s="124"/>
      <c r="B126" s="151"/>
      <c r="C126" s="129" t="s">
        <v>81</v>
      </c>
      <c r="D126" s="130">
        <f>SUM(H126:H127)/1000</f>
        <v>7680</v>
      </c>
      <c r="E126" s="130">
        <v>6544</v>
      </c>
      <c r="F126" s="131">
        <f t="shared" si="1"/>
        <v>1136</v>
      </c>
      <c r="G126" s="132" t="s">
        <v>234</v>
      </c>
      <c r="H126" s="133">
        <f>450000*12</f>
        <v>5400000</v>
      </c>
    </row>
    <row r="127" spans="1:8" ht="18.75" customHeight="1">
      <c r="A127" s="124"/>
      <c r="B127" s="151"/>
      <c r="C127" s="150"/>
      <c r="D127" s="152"/>
      <c r="E127" s="152"/>
      <c r="F127" s="153">
        <f t="shared" si="1"/>
        <v>0</v>
      </c>
      <c r="G127" s="193" t="s">
        <v>235</v>
      </c>
      <c r="H127" s="194">
        <f>380000*6</f>
        <v>2280000</v>
      </c>
    </row>
    <row r="128" spans="1:8" ht="18.75" customHeight="1">
      <c r="A128" s="124"/>
      <c r="B128" s="151"/>
      <c r="C128" s="129" t="s">
        <v>82</v>
      </c>
      <c r="D128" s="130">
        <f>SUM(H128:H128)/1000</f>
        <v>1188</v>
      </c>
      <c r="E128" s="130">
        <v>2500</v>
      </c>
      <c r="F128" s="131">
        <f t="shared" si="1"/>
        <v>-1312</v>
      </c>
      <c r="G128" s="146" t="s">
        <v>236</v>
      </c>
      <c r="H128" s="147">
        <f>33000*4*9</f>
        <v>1188000</v>
      </c>
    </row>
    <row r="129" spans="1:8" ht="18.75" customHeight="1">
      <c r="A129" s="124"/>
      <c r="B129" s="300" t="s">
        <v>83</v>
      </c>
      <c r="C129" s="301"/>
      <c r="D129" s="125">
        <f>SUM(D130:D134)</f>
        <v>6110</v>
      </c>
      <c r="E129" s="125">
        <f>SUM(E130:E134)</f>
        <v>6808</v>
      </c>
      <c r="F129" s="126">
        <f>SUM(F130:F134)</f>
        <v>-698</v>
      </c>
      <c r="G129" s="127" t="s">
        <v>16</v>
      </c>
      <c r="H129" s="128"/>
    </row>
    <row r="130" spans="1:8" ht="18.75" customHeight="1">
      <c r="A130" s="124"/>
      <c r="B130" s="314" t="s">
        <v>16</v>
      </c>
      <c r="C130" s="129" t="s">
        <v>84</v>
      </c>
      <c r="D130" s="130">
        <f>SUM(H130:H133)/1000</f>
        <v>3110</v>
      </c>
      <c r="E130" s="144">
        <v>3808</v>
      </c>
      <c r="F130" s="145">
        <f>D130-E130</f>
        <v>-698</v>
      </c>
      <c r="G130" s="137" t="s">
        <v>239</v>
      </c>
      <c r="H130" s="138">
        <f>346500*4</f>
        <v>1386000</v>
      </c>
    </row>
    <row r="131" spans="1:8" ht="18.75" customHeight="1">
      <c r="A131" s="124"/>
      <c r="B131" s="314"/>
      <c r="C131" s="134"/>
      <c r="D131" s="144"/>
      <c r="E131" s="144"/>
      <c r="F131" s="145"/>
      <c r="G131" s="137" t="s">
        <v>240</v>
      </c>
      <c r="H131" s="138">
        <f>231000*4</f>
        <v>924000</v>
      </c>
    </row>
    <row r="132" spans="1:8" ht="18.75" customHeight="1">
      <c r="A132" s="124"/>
      <c r="B132" s="314"/>
      <c r="C132" s="134"/>
      <c r="D132" s="144"/>
      <c r="E132" s="144"/>
      <c r="F132" s="145"/>
      <c r="G132" s="137" t="s">
        <v>241</v>
      </c>
      <c r="H132" s="138">
        <f>20000*10*4</f>
        <v>800000</v>
      </c>
    </row>
    <row r="133" spans="1:8" ht="18.75" customHeight="1">
      <c r="A133" s="124"/>
      <c r="B133" s="314"/>
      <c r="C133" s="134"/>
      <c r="D133" s="144"/>
      <c r="E133" s="144"/>
      <c r="F133" s="145"/>
      <c r="G133" s="137"/>
      <c r="H133" s="138"/>
    </row>
    <row r="134" spans="1:8" ht="18.75" customHeight="1">
      <c r="A134" s="195" t="s">
        <v>16</v>
      </c>
      <c r="B134" s="196" t="s">
        <v>16</v>
      </c>
      <c r="C134" s="197" t="s">
        <v>85</v>
      </c>
      <c r="D134" s="130">
        <f>SUM(H134)/1000</f>
        <v>3000</v>
      </c>
      <c r="E134" s="198">
        <v>3000</v>
      </c>
      <c r="F134" s="199">
        <f>D134-E134</f>
        <v>0</v>
      </c>
      <c r="G134" s="200" t="s">
        <v>242</v>
      </c>
      <c r="H134" s="201">
        <f>250000*12</f>
        <v>3000000</v>
      </c>
    </row>
    <row r="135" spans="1:8" ht="18.75" customHeight="1">
      <c r="A135" s="296" t="s">
        <v>86</v>
      </c>
      <c r="B135" s="297"/>
      <c r="C135" s="297"/>
      <c r="D135" s="202">
        <f>D136</f>
        <v>113386</v>
      </c>
      <c r="E135" s="202">
        <f>E136</f>
        <v>117914</v>
      </c>
      <c r="F135" s="203">
        <f>F136</f>
        <v>-4528</v>
      </c>
      <c r="G135" s="204" t="s">
        <v>16</v>
      </c>
      <c r="H135" s="205"/>
    </row>
    <row r="136" spans="1:8" ht="18.75" customHeight="1">
      <c r="A136" s="302" t="s">
        <v>16</v>
      </c>
      <c r="B136" s="300" t="s">
        <v>87</v>
      </c>
      <c r="C136" s="301"/>
      <c r="D136" s="125">
        <f>SUM(D137:D155)</f>
        <v>113386</v>
      </c>
      <c r="E136" s="125">
        <f>SUM(E137:E155)</f>
        <v>117914</v>
      </c>
      <c r="F136" s="126">
        <f>SUM(F137:F155)</f>
        <v>-4528</v>
      </c>
      <c r="G136" s="127" t="s">
        <v>16</v>
      </c>
      <c r="H136" s="128"/>
    </row>
    <row r="137" spans="1:8" ht="18.75" customHeight="1">
      <c r="A137" s="302"/>
      <c r="B137" s="314" t="s">
        <v>16</v>
      </c>
      <c r="C137" s="129" t="s">
        <v>88</v>
      </c>
      <c r="D137" s="130">
        <f>SUM(H137:H139)/1000</f>
        <v>1500</v>
      </c>
      <c r="E137" s="130">
        <v>1400</v>
      </c>
      <c r="F137" s="131">
        <f>D137-E137</f>
        <v>100</v>
      </c>
      <c r="G137" s="132" t="s">
        <v>247</v>
      </c>
      <c r="H137" s="133">
        <v>200000</v>
      </c>
    </row>
    <row r="138" spans="1:8" ht="18.75" customHeight="1">
      <c r="A138" s="302"/>
      <c r="B138" s="314"/>
      <c r="C138" s="134"/>
      <c r="D138" s="144"/>
      <c r="E138" s="144"/>
      <c r="F138" s="145"/>
      <c r="G138" s="137" t="s">
        <v>248</v>
      </c>
      <c r="H138" s="138">
        <v>300000</v>
      </c>
    </row>
    <row r="139" spans="1:8" ht="18.75" customHeight="1">
      <c r="A139" s="302"/>
      <c r="B139" s="314"/>
      <c r="C139" s="150"/>
      <c r="D139" s="152"/>
      <c r="E139" s="152"/>
      <c r="F139" s="153"/>
      <c r="G139" s="193" t="s">
        <v>249</v>
      </c>
      <c r="H139" s="194">
        <v>1000000</v>
      </c>
    </row>
    <row r="140" spans="1:8" ht="18.75" customHeight="1">
      <c r="A140" s="302" t="s">
        <v>16</v>
      </c>
      <c r="B140" s="314" t="s">
        <v>16</v>
      </c>
      <c r="C140" s="129" t="s">
        <v>89</v>
      </c>
      <c r="D140" s="130">
        <f>SUM(H140:H143)/1000</f>
        <v>6550</v>
      </c>
      <c r="E140" s="130">
        <v>7760</v>
      </c>
      <c r="F140" s="131">
        <f>D140-E140</f>
        <v>-1210</v>
      </c>
      <c r="G140" s="132" t="s">
        <v>250</v>
      </c>
      <c r="H140" s="133">
        <f>ROUNDUP(285710*7,-3)</f>
        <v>2000000</v>
      </c>
    </row>
    <row r="141" spans="1:8" ht="18.75" customHeight="1">
      <c r="A141" s="302"/>
      <c r="B141" s="314"/>
      <c r="C141" s="134"/>
      <c r="D141" s="144"/>
      <c r="E141" s="144"/>
      <c r="F141" s="145"/>
      <c r="G141" s="137" t="s">
        <v>251</v>
      </c>
      <c r="H141" s="138">
        <f>450000*7</f>
        <v>3150000</v>
      </c>
    </row>
    <row r="142" spans="1:8" ht="18.75" customHeight="1">
      <c r="A142" s="302"/>
      <c r="B142" s="314"/>
      <c r="C142" s="134"/>
      <c r="D142" s="144"/>
      <c r="E142" s="144"/>
      <c r="F142" s="145"/>
      <c r="G142" s="137" t="s">
        <v>252</v>
      </c>
      <c r="H142" s="138">
        <v>1000000</v>
      </c>
    </row>
    <row r="143" spans="1:8" ht="18.75" customHeight="1">
      <c r="A143" s="302"/>
      <c r="B143" s="314"/>
      <c r="C143" s="134"/>
      <c r="D143" s="144"/>
      <c r="E143" s="144"/>
      <c r="F143" s="145"/>
      <c r="G143" s="137" t="s">
        <v>253</v>
      </c>
      <c r="H143" s="138">
        <v>400000</v>
      </c>
    </row>
    <row r="144" spans="1:8" ht="18.75" customHeight="1">
      <c r="A144" s="302" t="s">
        <v>16</v>
      </c>
      <c r="B144" s="311" t="s">
        <v>16</v>
      </c>
      <c r="C144" s="206" t="s">
        <v>90</v>
      </c>
      <c r="D144" s="171">
        <f>SUM(H144:H150)/1000</f>
        <v>6700</v>
      </c>
      <c r="E144" s="171">
        <v>7500</v>
      </c>
      <c r="F144" s="172">
        <f>D144-E144</f>
        <v>-800</v>
      </c>
      <c r="G144" s="183" t="s">
        <v>254</v>
      </c>
      <c r="H144" s="158">
        <v>500000</v>
      </c>
    </row>
    <row r="145" spans="1:8" ht="18.75" customHeight="1">
      <c r="A145" s="302"/>
      <c r="B145" s="311"/>
      <c r="C145" s="207"/>
      <c r="D145" s="144"/>
      <c r="E145" s="144"/>
      <c r="F145" s="145"/>
      <c r="G145" s="137" t="s">
        <v>255</v>
      </c>
      <c r="H145" s="138">
        <v>500000</v>
      </c>
    </row>
    <row r="146" spans="1:8" ht="18.75" customHeight="1">
      <c r="A146" s="302"/>
      <c r="B146" s="311"/>
      <c r="C146" s="207"/>
      <c r="D146" s="144"/>
      <c r="E146" s="144"/>
      <c r="F146" s="145"/>
      <c r="G146" s="137" t="s">
        <v>256</v>
      </c>
      <c r="H146" s="138">
        <f>ROUNDUP(166600*3,-3)</f>
        <v>500000</v>
      </c>
    </row>
    <row r="147" spans="1:8" ht="18.75" customHeight="1">
      <c r="A147" s="302"/>
      <c r="B147" s="311"/>
      <c r="C147" s="207"/>
      <c r="D147" s="144"/>
      <c r="E147" s="144"/>
      <c r="F147" s="145"/>
      <c r="G147" s="137" t="s">
        <v>257</v>
      </c>
      <c r="H147" s="138">
        <v>1000000</v>
      </c>
    </row>
    <row r="148" spans="1:8" ht="18.75" customHeight="1">
      <c r="A148" s="302"/>
      <c r="B148" s="311"/>
      <c r="C148" s="207"/>
      <c r="D148" s="144"/>
      <c r="E148" s="144"/>
      <c r="F148" s="145"/>
      <c r="G148" s="137" t="s">
        <v>258</v>
      </c>
      <c r="H148" s="138">
        <f>200000*7</f>
        <v>1400000</v>
      </c>
    </row>
    <row r="149" spans="1:8" ht="18.75" customHeight="1">
      <c r="A149" s="302"/>
      <c r="B149" s="311"/>
      <c r="C149" s="207"/>
      <c r="D149" s="144"/>
      <c r="E149" s="144"/>
      <c r="F149" s="145"/>
      <c r="G149" s="146" t="s">
        <v>259</v>
      </c>
      <c r="H149" s="147">
        <v>1800000</v>
      </c>
    </row>
    <row r="150" spans="1:8" ht="18.75" customHeight="1">
      <c r="A150" s="302"/>
      <c r="B150" s="311"/>
      <c r="C150" s="208"/>
      <c r="D150" s="140"/>
      <c r="E150" s="140"/>
      <c r="F150" s="141"/>
      <c r="G150" s="209" t="s">
        <v>260</v>
      </c>
      <c r="H150" s="210">
        <v>1000000</v>
      </c>
    </row>
    <row r="151" spans="1:8" ht="18.75" customHeight="1">
      <c r="A151" s="302" t="s">
        <v>16</v>
      </c>
      <c r="B151" s="314" t="s">
        <v>16</v>
      </c>
      <c r="C151" s="211" t="s">
        <v>91</v>
      </c>
      <c r="D151" s="144">
        <v>0</v>
      </c>
      <c r="E151" s="152"/>
      <c r="F151" s="153"/>
      <c r="G151" s="193" t="s">
        <v>16</v>
      </c>
      <c r="H151" s="194"/>
    </row>
    <row r="152" spans="1:8" ht="18.75" customHeight="1">
      <c r="A152" s="302"/>
      <c r="B152" s="314"/>
      <c r="C152" s="129" t="s">
        <v>92</v>
      </c>
      <c r="D152" s="130">
        <f>SUM(H152:H153)/1000</f>
        <v>1052</v>
      </c>
      <c r="E152" s="144">
        <v>1039</v>
      </c>
      <c r="F152" s="145">
        <f>D152-E152</f>
        <v>13</v>
      </c>
      <c r="G152" s="132" t="s">
        <v>261</v>
      </c>
      <c r="H152" s="133">
        <f>ROUNDUP(58330*12,-3)</f>
        <v>700000</v>
      </c>
    </row>
    <row r="153" spans="1:8" ht="18.75" customHeight="1">
      <c r="A153" s="302"/>
      <c r="B153" s="314"/>
      <c r="C153" s="134"/>
      <c r="D153" s="144"/>
      <c r="E153" s="144"/>
      <c r="F153" s="145"/>
      <c r="G153" s="137" t="s">
        <v>262</v>
      </c>
      <c r="H153" s="138">
        <f>ROUNDUP(2300*153,-3)</f>
        <v>352000</v>
      </c>
    </row>
    <row r="154" spans="1:8" ht="18.75" customHeight="1">
      <c r="A154" s="302" t="s">
        <v>16</v>
      </c>
      <c r="B154" s="311" t="s">
        <v>16</v>
      </c>
      <c r="C154" s="206" t="s">
        <v>93</v>
      </c>
      <c r="D154" s="171">
        <f>SUM(H154:H155)/1000</f>
        <v>97584</v>
      </c>
      <c r="E154" s="171">
        <f>66244+33971</f>
        <v>100215</v>
      </c>
      <c r="F154" s="172">
        <f>D154-E154</f>
        <v>-2631</v>
      </c>
      <c r="G154" s="183" t="s">
        <v>263</v>
      </c>
      <c r="H154" s="158">
        <f>ROUNDUP(2000*152*214,-3)</f>
        <v>65056000</v>
      </c>
    </row>
    <row r="155" spans="1:8" ht="18.75" customHeight="1">
      <c r="A155" s="303"/>
      <c r="B155" s="312"/>
      <c r="C155" s="208"/>
      <c r="D155" s="140"/>
      <c r="E155" s="140"/>
      <c r="F155" s="141"/>
      <c r="G155" s="142" t="s">
        <v>267</v>
      </c>
      <c r="H155" s="143">
        <f>ROUNDUP(1000*152*214,-3)</f>
        <v>32528000</v>
      </c>
    </row>
    <row r="156" spans="1:8" ht="18.75" customHeight="1">
      <c r="A156" s="296" t="s">
        <v>94</v>
      </c>
      <c r="B156" s="297"/>
      <c r="C156" s="313"/>
      <c r="D156" s="120">
        <f>D157+D168</f>
        <v>360261</v>
      </c>
      <c r="E156" s="120">
        <f>E157+E168</f>
        <v>404867</v>
      </c>
      <c r="F156" s="121">
        <f>F157+F168</f>
        <v>-44606</v>
      </c>
      <c r="G156" s="212" t="s">
        <v>16</v>
      </c>
      <c r="H156" s="123"/>
    </row>
    <row r="157" spans="1:8" ht="18.75" customHeight="1">
      <c r="A157" s="124" t="s">
        <v>16</v>
      </c>
      <c r="B157" s="300" t="s">
        <v>95</v>
      </c>
      <c r="C157" s="301"/>
      <c r="D157" s="125">
        <f>SUM(D158:D167)</f>
        <v>288840</v>
      </c>
      <c r="E157" s="125">
        <f>SUM(E158:E167)</f>
        <v>224640</v>
      </c>
      <c r="F157" s="126">
        <f>SUM(F158:F167)</f>
        <v>64200</v>
      </c>
      <c r="G157" s="127" t="s">
        <v>16</v>
      </c>
      <c r="H157" s="128"/>
    </row>
    <row r="158" spans="1:8" ht="18.75" customHeight="1">
      <c r="A158" s="124"/>
      <c r="B158" s="151" t="s">
        <v>16</v>
      </c>
      <c r="C158" s="154" t="s">
        <v>96</v>
      </c>
      <c r="D158" s="171">
        <f>SUM(H158:H158)/1000</f>
        <v>0</v>
      </c>
      <c r="E158" s="130"/>
      <c r="F158" s="131"/>
      <c r="G158" s="132"/>
      <c r="H158" s="133"/>
    </row>
    <row r="159" spans="1:8" ht="18.75" customHeight="1">
      <c r="A159" s="124"/>
      <c r="B159" s="134"/>
      <c r="C159" s="206" t="s">
        <v>33</v>
      </c>
      <c r="D159" s="171">
        <f>SUM(H159:H167)/1000</f>
        <v>288840</v>
      </c>
      <c r="E159" s="171">
        <v>224640</v>
      </c>
      <c r="F159" s="172">
        <f>D159-E159</f>
        <v>64200</v>
      </c>
      <c r="G159" s="183" t="s">
        <v>274</v>
      </c>
      <c r="H159" s="158">
        <f>9100000*11</f>
        <v>100100000</v>
      </c>
    </row>
    <row r="160" spans="1:8" ht="18.75" customHeight="1">
      <c r="A160" s="260"/>
      <c r="B160" s="134"/>
      <c r="C160" s="207"/>
      <c r="D160" s="144"/>
      <c r="E160" s="144"/>
      <c r="F160" s="145"/>
      <c r="G160" s="132" t="s">
        <v>332</v>
      </c>
      <c r="H160" s="133">
        <f>ROUNDUP(1292390*9%*7*12,-3)</f>
        <v>9771000</v>
      </c>
    </row>
    <row r="161" spans="1:8" ht="18.75" customHeight="1">
      <c r="A161" s="260"/>
      <c r="B161" s="134"/>
      <c r="C161" s="207"/>
      <c r="D161" s="144"/>
      <c r="E161" s="144"/>
      <c r="F161" s="145"/>
      <c r="G161" s="137" t="s">
        <v>333</v>
      </c>
      <c r="H161" s="138">
        <f>ROUNDUP(2035420*7,-3)</f>
        <v>14248000</v>
      </c>
    </row>
    <row r="162" spans="1:8" ht="18.75" customHeight="1">
      <c r="A162" s="260"/>
      <c r="B162" s="134"/>
      <c r="C162" s="207"/>
      <c r="D162" s="144"/>
      <c r="E162" s="144"/>
      <c r="F162" s="145"/>
      <c r="G162" s="142" t="s">
        <v>268</v>
      </c>
      <c r="H162" s="143">
        <f>ROUNDUP(1000*140*15*2,-3)</f>
        <v>4200000</v>
      </c>
    </row>
    <row r="163" spans="1:8" ht="18.75" customHeight="1">
      <c r="A163" s="260"/>
      <c r="B163" s="134"/>
      <c r="C163" s="207"/>
      <c r="D163" s="144"/>
      <c r="E163" s="144"/>
      <c r="F163" s="145"/>
      <c r="G163" s="183" t="s">
        <v>269</v>
      </c>
      <c r="H163" s="158">
        <f>ROUNDUP(1292390*7*12,-3)</f>
        <v>108561000</v>
      </c>
    </row>
    <row r="164" spans="1:8" ht="18.75" customHeight="1">
      <c r="A164" s="260"/>
      <c r="B164" s="134"/>
      <c r="C164" s="207"/>
      <c r="D164" s="144"/>
      <c r="E164" s="144"/>
      <c r="F164" s="145"/>
      <c r="G164" s="137" t="s">
        <v>271</v>
      </c>
      <c r="H164" s="138">
        <f>ROUNDUP(2000*140*15*2,-3)</f>
        <v>8400000</v>
      </c>
    </row>
    <row r="165" spans="1:8" ht="18.75" customHeight="1">
      <c r="A165" s="260"/>
      <c r="B165" s="134"/>
      <c r="C165" s="207"/>
      <c r="D165" s="144"/>
      <c r="E165" s="144"/>
      <c r="F165" s="145"/>
      <c r="G165" s="137" t="s">
        <v>272</v>
      </c>
      <c r="H165" s="138">
        <f>ROUNDUP(22000*5*244,-3)</f>
        <v>26840000</v>
      </c>
    </row>
    <row r="166" spans="1:8" ht="18.75" customHeight="1">
      <c r="A166" s="124"/>
      <c r="B166" s="134"/>
      <c r="C166" s="207"/>
      <c r="D166" s="144"/>
      <c r="E166" s="144"/>
      <c r="F166" s="145"/>
      <c r="G166" s="137" t="s">
        <v>270</v>
      </c>
      <c r="H166" s="138">
        <f>ROUNDUP(1081810*11,-3)</f>
        <v>11900000</v>
      </c>
    </row>
    <row r="167" spans="1:8" ht="18.75" customHeight="1">
      <c r="A167" s="124"/>
      <c r="B167" s="134"/>
      <c r="C167" s="208"/>
      <c r="D167" s="140"/>
      <c r="E167" s="140"/>
      <c r="F167" s="141"/>
      <c r="G167" s="142" t="s">
        <v>273</v>
      </c>
      <c r="H167" s="143">
        <f>ROUNDUP(438180*11,-3)</f>
        <v>4820000</v>
      </c>
    </row>
    <row r="168" spans="1:8" ht="18.75" customHeight="1">
      <c r="A168" s="124"/>
      <c r="B168" s="300" t="s">
        <v>97</v>
      </c>
      <c r="C168" s="310"/>
      <c r="D168" s="163">
        <f>SUM(D169:D175)</f>
        <v>71421</v>
      </c>
      <c r="E168" s="163">
        <f>SUM(E169:E175)</f>
        <v>180227</v>
      </c>
      <c r="F168" s="164">
        <f>SUM(F169:F175)</f>
        <v>-108806</v>
      </c>
      <c r="G168" s="213" t="s">
        <v>16</v>
      </c>
      <c r="H168" s="166"/>
    </row>
    <row r="169" spans="1:8" ht="18.75" customHeight="1">
      <c r="A169" s="124"/>
      <c r="B169" s="214" t="s">
        <v>16</v>
      </c>
      <c r="C169" s="154" t="s">
        <v>38</v>
      </c>
      <c r="D169" s="130">
        <f>H169/1000</f>
        <v>12768</v>
      </c>
      <c r="E169" s="130">
        <v>14168</v>
      </c>
      <c r="F169" s="131">
        <f t="shared" ref="F169:F175" si="2">D169-E169</f>
        <v>-1400</v>
      </c>
      <c r="G169" s="132" t="s">
        <v>275</v>
      </c>
      <c r="H169" s="133">
        <f>ROUNDUP(14000*152*6,-3)</f>
        <v>12768000</v>
      </c>
    </row>
    <row r="170" spans="1:8" ht="18.75" customHeight="1">
      <c r="A170" s="124"/>
      <c r="B170" s="214" t="s">
        <v>16</v>
      </c>
      <c r="C170" s="154" t="s">
        <v>39</v>
      </c>
      <c r="D170" s="171">
        <f>SUM(H170:H172)/1000</f>
        <v>27680</v>
      </c>
      <c r="E170" s="130">
        <v>25446</v>
      </c>
      <c r="F170" s="131">
        <f t="shared" si="2"/>
        <v>2234</v>
      </c>
      <c r="G170" s="215" t="s">
        <v>278</v>
      </c>
      <c r="H170" s="216">
        <v>20000000</v>
      </c>
    </row>
    <row r="171" spans="1:8" ht="18.75" customHeight="1">
      <c r="A171" s="124"/>
      <c r="B171" s="214"/>
      <c r="C171" s="155"/>
      <c r="D171" s="144"/>
      <c r="E171" s="144"/>
      <c r="F171" s="145"/>
      <c r="G171" s="217" t="s">
        <v>277</v>
      </c>
      <c r="H171" s="147">
        <f>200000*12</f>
        <v>2400000</v>
      </c>
    </row>
    <row r="172" spans="1:8" ht="18.75" customHeight="1">
      <c r="A172" s="124"/>
      <c r="B172" s="214"/>
      <c r="C172" s="211"/>
      <c r="D172" s="152"/>
      <c r="E172" s="152"/>
      <c r="F172" s="153"/>
      <c r="G172" s="218" t="s">
        <v>276</v>
      </c>
      <c r="H172" s="219">
        <f>20000*22*12</f>
        <v>5280000</v>
      </c>
    </row>
    <row r="173" spans="1:8" ht="18.75" customHeight="1">
      <c r="A173" s="124"/>
      <c r="B173" s="214" t="s">
        <v>16</v>
      </c>
      <c r="C173" s="129" t="s">
        <v>98</v>
      </c>
      <c r="D173" s="171">
        <f>SUM(H173:H173)/1000</f>
        <v>12733</v>
      </c>
      <c r="E173" s="130">
        <v>13293</v>
      </c>
      <c r="F173" s="131">
        <f t="shared" si="2"/>
        <v>-560</v>
      </c>
      <c r="G173" s="137" t="s">
        <v>265</v>
      </c>
      <c r="H173" s="138">
        <f>ROUNDUP(3500*17*214,-3)</f>
        <v>12733000</v>
      </c>
    </row>
    <row r="174" spans="1:8" ht="18.75" customHeight="1">
      <c r="A174" s="124"/>
      <c r="B174" s="214" t="s">
        <v>16</v>
      </c>
      <c r="C174" s="197" t="s">
        <v>99</v>
      </c>
      <c r="D174" s="198"/>
      <c r="E174" s="198"/>
      <c r="F174" s="199">
        <f t="shared" si="2"/>
        <v>0</v>
      </c>
      <c r="G174" s="200"/>
      <c r="H174" s="201"/>
    </row>
    <row r="175" spans="1:8" ht="18.75" customHeight="1">
      <c r="A175" s="220" t="s">
        <v>16</v>
      </c>
      <c r="B175" s="214" t="s">
        <v>16</v>
      </c>
      <c r="C175" s="221" t="s">
        <v>282</v>
      </c>
      <c r="D175" s="171">
        <f>SUM(H175)/1000</f>
        <v>18240</v>
      </c>
      <c r="E175" s="144">
        <v>127320</v>
      </c>
      <c r="F175" s="145">
        <f t="shared" si="2"/>
        <v>-109080</v>
      </c>
      <c r="G175" s="137" t="s">
        <v>279</v>
      </c>
      <c r="H175" s="138">
        <f>10000*152*12</f>
        <v>18240000</v>
      </c>
    </row>
    <row r="176" spans="1:8" ht="18.75" customHeight="1">
      <c r="A176" s="296" t="s">
        <v>100</v>
      </c>
      <c r="B176" s="297"/>
      <c r="C176" s="297"/>
      <c r="D176" s="202">
        <f t="shared" ref="D176:F177" si="3">D177</f>
        <v>0</v>
      </c>
      <c r="E176" s="202">
        <f t="shared" si="3"/>
        <v>0</v>
      </c>
      <c r="F176" s="203">
        <f t="shared" si="3"/>
        <v>0</v>
      </c>
      <c r="G176" s="222" t="s">
        <v>16</v>
      </c>
      <c r="H176" s="223"/>
    </row>
    <row r="177" spans="1:8" ht="18.75" customHeight="1">
      <c r="A177" s="308"/>
      <c r="B177" s="300" t="s">
        <v>101</v>
      </c>
      <c r="C177" s="301"/>
      <c r="D177" s="125">
        <f t="shared" si="3"/>
        <v>0</v>
      </c>
      <c r="E177" s="125">
        <f t="shared" si="3"/>
        <v>0</v>
      </c>
      <c r="F177" s="126">
        <f t="shared" si="3"/>
        <v>0</v>
      </c>
      <c r="G177" s="127" t="s">
        <v>16</v>
      </c>
      <c r="H177" s="128"/>
    </row>
    <row r="178" spans="1:8" ht="18.75" customHeight="1">
      <c r="A178" s="309"/>
      <c r="B178" s="196" t="s">
        <v>16</v>
      </c>
      <c r="C178" s="197" t="s">
        <v>101</v>
      </c>
      <c r="D178" s="198"/>
      <c r="E178" s="198"/>
      <c r="F178" s="199"/>
      <c r="G178" s="200" t="s">
        <v>16</v>
      </c>
      <c r="H178" s="201"/>
    </row>
    <row r="179" spans="1:8" ht="18.75" customHeight="1">
      <c r="A179" s="296" t="s">
        <v>102</v>
      </c>
      <c r="B179" s="297"/>
      <c r="C179" s="297"/>
      <c r="D179" s="202">
        <f>D180</f>
        <v>0</v>
      </c>
      <c r="E179" s="202">
        <f>E180</f>
        <v>0</v>
      </c>
      <c r="F179" s="203">
        <f>F180</f>
        <v>0</v>
      </c>
      <c r="G179" s="222" t="s">
        <v>16</v>
      </c>
      <c r="H179" s="223"/>
    </row>
    <row r="180" spans="1:8" ht="18.75" customHeight="1">
      <c r="A180" s="302" t="s">
        <v>16</v>
      </c>
      <c r="B180" s="300" t="s">
        <v>103</v>
      </c>
      <c r="C180" s="301"/>
      <c r="D180" s="125">
        <f>SUM(D181:D182)</f>
        <v>0</v>
      </c>
      <c r="E180" s="125">
        <f>SUM(E181:E182)</f>
        <v>0</v>
      </c>
      <c r="F180" s="126">
        <f>SUM(F181:F182)</f>
        <v>0</v>
      </c>
      <c r="G180" s="127" t="s">
        <v>16</v>
      </c>
      <c r="H180" s="128"/>
    </row>
    <row r="181" spans="1:8" ht="18.75" customHeight="1">
      <c r="A181" s="302"/>
      <c r="B181" s="214" t="s">
        <v>16</v>
      </c>
      <c r="C181" s="197" t="s">
        <v>104</v>
      </c>
      <c r="D181" s="198"/>
      <c r="E181" s="198"/>
      <c r="F181" s="199"/>
      <c r="G181" s="200" t="s">
        <v>16</v>
      </c>
      <c r="H181" s="201"/>
    </row>
    <row r="182" spans="1:8" ht="18.75" customHeight="1">
      <c r="A182" s="303"/>
      <c r="B182" s="196" t="s">
        <v>16</v>
      </c>
      <c r="C182" s="197" t="s">
        <v>105</v>
      </c>
      <c r="D182" s="198"/>
      <c r="E182" s="198"/>
      <c r="F182" s="199"/>
      <c r="G182" s="200" t="s">
        <v>16</v>
      </c>
      <c r="H182" s="201"/>
    </row>
    <row r="183" spans="1:8" ht="18.75" customHeight="1">
      <c r="A183" s="296" t="s">
        <v>106</v>
      </c>
      <c r="B183" s="297"/>
      <c r="C183" s="297"/>
      <c r="D183" s="202">
        <f>D184</f>
        <v>0</v>
      </c>
      <c r="E183" s="202">
        <f>E184</f>
        <v>0</v>
      </c>
      <c r="F183" s="203">
        <f>F184</f>
        <v>0</v>
      </c>
      <c r="G183" s="222" t="s">
        <v>16</v>
      </c>
      <c r="H183" s="223"/>
    </row>
    <row r="184" spans="1:8" ht="18.75" customHeight="1">
      <c r="A184" s="302" t="s">
        <v>16</v>
      </c>
      <c r="B184" s="300" t="s">
        <v>107</v>
      </c>
      <c r="C184" s="301"/>
      <c r="D184" s="125">
        <f>SUM(D185:D186)</f>
        <v>0</v>
      </c>
      <c r="E184" s="125">
        <f>SUM(E185:E186)</f>
        <v>0</v>
      </c>
      <c r="F184" s="126">
        <f>SUM(F185:F186)</f>
        <v>0</v>
      </c>
      <c r="G184" s="127" t="s">
        <v>16</v>
      </c>
      <c r="H184" s="128"/>
    </row>
    <row r="185" spans="1:8" ht="18.75" customHeight="1">
      <c r="A185" s="302"/>
      <c r="B185" s="214" t="s">
        <v>16</v>
      </c>
      <c r="C185" s="197" t="s">
        <v>108</v>
      </c>
      <c r="D185" s="198"/>
      <c r="E185" s="198"/>
      <c r="F185" s="199"/>
      <c r="G185" s="200" t="s">
        <v>16</v>
      </c>
      <c r="H185" s="201"/>
    </row>
    <row r="186" spans="1:8" ht="18.75" customHeight="1">
      <c r="A186" s="303"/>
      <c r="B186" s="196" t="s">
        <v>16</v>
      </c>
      <c r="C186" s="197" t="s">
        <v>109</v>
      </c>
      <c r="D186" s="198"/>
      <c r="E186" s="198"/>
      <c r="F186" s="199"/>
      <c r="G186" s="200" t="s">
        <v>16</v>
      </c>
      <c r="H186" s="201"/>
    </row>
    <row r="187" spans="1:8" ht="18.75" customHeight="1">
      <c r="A187" s="296" t="s">
        <v>110</v>
      </c>
      <c r="B187" s="297"/>
      <c r="C187" s="297"/>
      <c r="D187" s="202">
        <f>D188+D194</f>
        <v>20860</v>
      </c>
      <c r="E187" s="202">
        <f>E188+E194</f>
        <v>47366</v>
      </c>
      <c r="F187" s="203">
        <f>F188+F194</f>
        <v>-26506</v>
      </c>
      <c r="G187" s="222" t="s">
        <v>16</v>
      </c>
      <c r="H187" s="223"/>
    </row>
    <row r="188" spans="1:8" ht="18.75" customHeight="1">
      <c r="A188" s="302" t="s">
        <v>16</v>
      </c>
      <c r="B188" s="300" t="s">
        <v>111</v>
      </c>
      <c r="C188" s="301"/>
      <c r="D188" s="125">
        <f>SUM(D189:D190)</f>
        <v>20860</v>
      </c>
      <c r="E188" s="125">
        <f>SUM(E189:E190)</f>
        <v>43591</v>
      </c>
      <c r="F188" s="126">
        <f>SUM(F189:F190)</f>
        <v>-22731</v>
      </c>
      <c r="G188" s="127" t="s">
        <v>16</v>
      </c>
      <c r="H188" s="128"/>
    </row>
    <row r="189" spans="1:8" ht="18.75" customHeight="1">
      <c r="A189" s="302"/>
      <c r="B189" s="214" t="s">
        <v>16</v>
      </c>
      <c r="C189" s="129" t="s">
        <v>112</v>
      </c>
      <c r="D189" s="130"/>
      <c r="E189" s="130"/>
      <c r="F189" s="131">
        <f>D189-E189</f>
        <v>0</v>
      </c>
      <c r="G189" s="132"/>
      <c r="H189" s="133"/>
    </row>
    <row r="190" spans="1:8" ht="18.75" customHeight="1">
      <c r="A190" s="302" t="s">
        <v>16</v>
      </c>
      <c r="B190" s="214" t="s">
        <v>16</v>
      </c>
      <c r="C190" s="154" t="s">
        <v>113</v>
      </c>
      <c r="D190" s="130">
        <f>SUM(H190:H193)/1000</f>
        <v>20860</v>
      </c>
      <c r="E190" s="130">
        <v>43591</v>
      </c>
      <c r="F190" s="131">
        <f>D190-E190</f>
        <v>-22731</v>
      </c>
      <c r="G190" s="132" t="s">
        <v>243</v>
      </c>
      <c r="H190" s="133">
        <f>500000*12</f>
        <v>6000000</v>
      </c>
    </row>
    <row r="191" spans="1:8" ht="18.75" customHeight="1">
      <c r="A191" s="302"/>
      <c r="B191" s="224"/>
      <c r="C191" s="225"/>
      <c r="D191" s="144"/>
      <c r="E191" s="144"/>
      <c r="F191" s="145"/>
      <c r="G191" s="137" t="s">
        <v>244</v>
      </c>
      <c r="H191" s="138">
        <f>350000*2</f>
        <v>700000</v>
      </c>
    </row>
    <row r="192" spans="1:8" ht="18.75" customHeight="1">
      <c r="A192" s="302"/>
      <c r="B192" s="224"/>
      <c r="C192" s="225"/>
      <c r="D192" s="144"/>
      <c r="E192" s="144"/>
      <c r="F192" s="145"/>
      <c r="G192" s="137" t="s">
        <v>245</v>
      </c>
      <c r="H192" s="138">
        <f>180000*12</f>
        <v>2160000</v>
      </c>
    </row>
    <row r="193" spans="1:8" ht="18.75" customHeight="1">
      <c r="A193" s="302"/>
      <c r="B193" s="224"/>
      <c r="C193" s="225"/>
      <c r="D193" s="144"/>
      <c r="E193" s="144"/>
      <c r="F193" s="145"/>
      <c r="G193" s="137" t="s">
        <v>246</v>
      </c>
      <c r="H193" s="138">
        <f>1000000*12</f>
        <v>12000000</v>
      </c>
    </row>
    <row r="194" spans="1:8" ht="18.75" customHeight="1">
      <c r="A194" s="302"/>
      <c r="B194" s="300" t="s">
        <v>114</v>
      </c>
      <c r="C194" s="301"/>
      <c r="D194" s="125">
        <f>SUM(D195:D196)</f>
        <v>0</v>
      </c>
      <c r="E194" s="125">
        <f>SUM(E195:E196)</f>
        <v>3775</v>
      </c>
      <c r="F194" s="126">
        <f>SUM(F195:F196)</f>
        <v>-3775</v>
      </c>
      <c r="G194" s="127" t="s">
        <v>16</v>
      </c>
      <c r="H194" s="128"/>
    </row>
    <row r="195" spans="1:8" ht="18.75" customHeight="1">
      <c r="A195" s="302"/>
      <c r="B195" s="214" t="s">
        <v>16</v>
      </c>
      <c r="C195" s="154" t="s">
        <v>115</v>
      </c>
      <c r="D195" s="226">
        <v>0</v>
      </c>
      <c r="E195" s="226">
        <v>3775</v>
      </c>
      <c r="F195" s="131">
        <f>D195-E195</f>
        <v>-3775</v>
      </c>
      <c r="G195" s="132"/>
      <c r="H195" s="133"/>
    </row>
    <row r="196" spans="1:8" ht="18.75" customHeight="1">
      <c r="A196" s="227" t="s">
        <v>16</v>
      </c>
      <c r="B196" s="228" t="s">
        <v>16</v>
      </c>
      <c r="C196" s="229" t="s">
        <v>113</v>
      </c>
      <c r="D196" s="130"/>
      <c r="E196" s="130">
        <v>0</v>
      </c>
      <c r="F196" s="131">
        <f>D196-E196</f>
        <v>0</v>
      </c>
      <c r="G196" s="132"/>
      <c r="H196" s="133"/>
    </row>
    <row r="197" spans="1:8" ht="18.75" customHeight="1">
      <c r="A197" s="298" t="s">
        <v>116</v>
      </c>
      <c r="B197" s="299"/>
      <c r="C197" s="299"/>
      <c r="D197" s="176">
        <f t="shared" ref="D197:F198" si="4">D198</f>
        <v>0</v>
      </c>
      <c r="E197" s="176">
        <f t="shared" si="4"/>
        <v>0</v>
      </c>
      <c r="F197" s="177">
        <f t="shared" si="4"/>
        <v>0</v>
      </c>
      <c r="G197" s="178" t="s">
        <v>16</v>
      </c>
      <c r="H197" s="179"/>
    </row>
    <row r="198" spans="1:8" ht="18.75" customHeight="1">
      <c r="A198" s="302" t="s">
        <v>16</v>
      </c>
      <c r="B198" s="300" t="s">
        <v>117</v>
      </c>
      <c r="C198" s="301"/>
      <c r="D198" s="125">
        <f t="shared" si="4"/>
        <v>0</v>
      </c>
      <c r="E198" s="125">
        <f t="shared" si="4"/>
        <v>0</v>
      </c>
      <c r="F198" s="126">
        <f t="shared" si="4"/>
        <v>0</v>
      </c>
      <c r="G198" s="127" t="s">
        <v>16</v>
      </c>
      <c r="H198" s="128"/>
    </row>
    <row r="199" spans="1:8" ht="18.75" customHeight="1">
      <c r="A199" s="307"/>
      <c r="B199" s="230" t="s">
        <v>16</v>
      </c>
      <c r="C199" s="231" t="s">
        <v>117</v>
      </c>
      <c r="D199" s="232"/>
      <c r="E199" s="232"/>
      <c r="F199" s="233"/>
      <c r="G199" s="234" t="s">
        <v>16</v>
      </c>
      <c r="H199" s="235"/>
    </row>
    <row r="200" spans="1:8" ht="18.75" customHeight="1">
      <c r="A200" s="298" t="s">
        <v>118</v>
      </c>
      <c r="B200" s="299"/>
      <c r="C200" s="299"/>
      <c r="D200" s="120">
        <f t="shared" ref="D200:F201" si="5">D201</f>
        <v>0</v>
      </c>
      <c r="E200" s="120">
        <f t="shared" si="5"/>
        <v>0</v>
      </c>
      <c r="F200" s="121">
        <f t="shared" si="5"/>
        <v>0</v>
      </c>
      <c r="G200" s="212" t="s">
        <v>16</v>
      </c>
      <c r="H200" s="123"/>
    </row>
    <row r="201" spans="1:8" ht="18.75" customHeight="1">
      <c r="A201" s="302" t="s">
        <v>16</v>
      </c>
      <c r="B201" s="300" t="s">
        <v>119</v>
      </c>
      <c r="C201" s="301"/>
      <c r="D201" s="125">
        <f t="shared" si="5"/>
        <v>0</v>
      </c>
      <c r="E201" s="125">
        <f t="shared" si="5"/>
        <v>0</v>
      </c>
      <c r="F201" s="126">
        <f t="shared" si="5"/>
        <v>0</v>
      </c>
      <c r="G201" s="127" t="s">
        <v>16</v>
      </c>
      <c r="H201" s="128"/>
    </row>
    <row r="202" spans="1:8" ht="18.75" customHeight="1">
      <c r="A202" s="303"/>
      <c r="B202" s="196" t="s">
        <v>16</v>
      </c>
      <c r="C202" s="197" t="s">
        <v>119</v>
      </c>
      <c r="D202" s="198">
        <v>0</v>
      </c>
      <c r="E202" s="198">
        <v>0</v>
      </c>
      <c r="F202" s="199">
        <f>D202-E202</f>
        <v>0</v>
      </c>
      <c r="G202" s="200"/>
      <c r="H202" s="201"/>
    </row>
    <row r="203" spans="1:8" ht="18.75" customHeight="1">
      <c r="A203" s="296" t="s">
        <v>120</v>
      </c>
      <c r="B203" s="297"/>
      <c r="C203" s="297"/>
      <c r="D203" s="202">
        <f t="shared" ref="D203:F204" si="6">D204</f>
        <v>1000</v>
      </c>
      <c r="E203" s="202">
        <f t="shared" si="6"/>
        <v>0</v>
      </c>
      <c r="F203" s="203">
        <f t="shared" si="6"/>
        <v>1000</v>
      </c>
      <c r="G203" s="222" t="s">
        <v>16</v>
      </c>
      <c r="H203" s="223"/>
    </row>
    <row r="204" spans="1:8" ht="18.75" customHeight="1">
      <c r="A204" s="220" t="s">
        <v>16</v>
      </c>
      <c r="B204" s="300" t="s">
        <v>121</v>
      </c>
      <c r="C204" s="301"/>
      <c r="D204" s="125">
        <f t="shared" si="6"/>
        <v>1000</v>
      </c>
      <c r="E204" s="125">
        <f t="shared" si="6"/>
        <v>0</v>
      </c>
      <c r="F204" s="126">
        <f t="shared" si="6"/>
        <v>1000</v>
      </c>
      <c r="G204" s="127" t="s">
        <v>16</v>
      </c>
      <c r="H204" s="128"/>
    </row>
    <row r="205" spans="1:8" ht="18.75" customHeight="1" thickBot="1">
      <c r="A205" s="236" t="s">
        <v>16</v>
      </c>
      <c r="B205" s="237" t="s">
        <v>16</v>
      </c>
      <c r="C205" s="238" t="s">
        <v>121</v>
      </c>
      <c r="D205" s="239">
        <v>1000</v>
      </c>
      <c r="E205" s="239">
        <v>0</v>
      </c>
      <c r="F205" s="240">
        <f>D205-E205</f>
        <v>1000</v>
      </c>
      <c r="G205" s="241" t="s">
        <v>280</v>
      </c>
      <c r="H205" s="242">
        <v>1000000</v>
      </c>
    </row>
    <row r="206" spans="1:8" ht="18.75" customHeight="1" thickTop="1">
      <c r="A206" s="304" t="s">
        <v>122</v>
      </c>
      <c r="B206" s="305"/>
      <c r="C206" s="306"/>
      <c r="D206" s="243">
        <f>D203+D200+D197+D187+D183+D179+D176+D156+D135+D93+D6</f>
        <v>1341688</v>
      </c>
      <c r="E206" s="243">
        <f>E203+E200+E197+E187+E183+E179+E176+E156+E135+E93+E6</f>
        <v>1456428</v>
      </c>
      <c r="F206" s="244">
        <f>F203+F200+F197+F187+F183+F179+F176+F156+F135+F93+F6</f>
        <v>-114740</v>
      </c>
      <c r="G206" s="245" t="s">
        <v>16</v>
      </c>
      <c r="H206" s="246"/>
    </row>
    <row r="207" spans="1:8" ht="18.75" customHeight="1">
      <c r="F207" s="115"/>
    </row>
  </sheetData>
  <mergeCells count="50">
    <mergeCell ref="B46:C46"/>
    <mergeCell ref="B27:C27"/>
    <mergeCell ref="A4:C4"/>
    <mergeCell ref="A6:C6"/>
    <mergeCell ref="B7:C7"/>
    <mergeCell ref="B8:B26"/>
    <mergeCell ref="B129:C129"/>
    <mergeCell ref="A136:A139"/>
    <mergeCell ref="B136:C136"/>
    <mergeCell ref="B137:B139"/>
    <mergeCell ref="A93:C93"/>
    <mergeCell ref="B130:B133"/>
    <mergeCell ref="B94:C94"/>
    <mergeCell ref="A144:A150"/>
    <mergeCell ref="B144:B150"/>
    <mergeCell ref="A135:C135"/>
    <mergeCell ref="A151:A153"/>
    <mergeCell ref="B151:B153"/>
    <mergeCell ref="A140:A143"/>
    <mergeCell ref="B140:B143"/>
    <mergeCell ref="A176:C176"/>
    <mergeCell ref="A177:A178"/>
    <mergeCell ref="B177:C177"/>
    <mergeCell ref="B168:C168"/>
    <mergeCell ref="A154:A155"/>
    <mergeCell ref="B154:B155"/>
    <mergeCell ref="A156:C156"/>
    <mergeCell ref="B157:C157"/>
    <mergeCell ref="A206:C206"/>
    <mergeCell ref="A198:A199"/>
    <mergeCell ref="B198:C198"/>
    <mergeCell ref="A200:C200"/>
    <mergeCell ref="A201:A202"/>
    <mergeCell ref="B201:C201"/>
    <mergeCell ref="G4:H5"/>
    <mergeCell ref="A1:H1"/>
    <mergeCell ref="A203:C203"/>
    <mergeCell ref="A197:C197"/>
    <mergeCell ref="B204:C204"/>
    <mergeCell ref="A187:C187"/>
    <mergeCell ref="A188:A189"/>
    <mergeCell ref="B188:C188"/>
    <mergeCell ref="A190:A195"/>
    <mergeCell ref="B194:C194"/>
    <mergeCell ref="A179:C179"/>
    <mergeCell ref="A180:A182"/>
    <mergeCell ref="B180:C180"/>
    <mergeCell ref="A183:C183"/>
    <mergeCell ref="A184:A186"/>
    <mergeCell ref="B184:C184"/>
  </mergeCells>
  <phoneticPr fontId="2" type="noConversion"/>
  <printOptions horizontalCentered="1"/>
  <pageMargins left="0.39370078740157483" right="0.39370078740157483" top="0.98425196850393704" bottom="0.59055118110236227" header="0.31496062992125984" footer="0.23622047244094491"/>
  <pageSetup paperSize="9" scale="67" fitToHeight="0" orientation="portrait" r:id="rId1"/>
  <headerFooter alignWithMargins="0">
    <oddFooter>&amp;C&amp;8-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표지</vt:lpstr>
      <vt:lpstr>총칙</vt:lpstr>
      <vt:lpstr>총괄표</vt:lpstr>
      <vt:lpstr>세입</vt:lpstr>
      <vt:lpstr>세출</vt:lpstr>
      <vt:lpstr>세입!Print_Area</vt:lpstr>
      <vt:lpstr>총괄표!Print_Area</vt:lpstr>
      <vt:lpstr>총칙!Print_Area</vt:lpstr>
      <vt:lpstr>세입!Print_Titles</vt:lpstr>
      <vt:lpstr>세출!Print_Titles</vt:lpstr>
    </vt:vector>
  </TitlesOfParts>
  <Company>여천고등학교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2001년 학교회계 예산서</dc:title>
  <dc:creator>행정실</dc:creator>
  <cp:lastModifiedBy>user</cp:lastModifiedBy>
  <cp:lastPrinted>2020-02-19T13:00:33Z</cp:lastPrinted>
  <dcterms:created xsi:type="dcterms:W3CDTF">2000-12-01T23:43:26Z</dcterms:created>
  <dcterms:modified xsi:type="dcterms:W3CDTF">2020-02-19T13:00:43Z</dcterms:modified>
</cp:coreProperties>
</file>