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1400" windowHeight="6345" tabRatio="641" activeTab="0"/>
  </bookViews>
  <sheets>
    <sheet name="표지" sheetId="1" r:id="rId1"/>
    <sheet name="총칙" sheetId="2" r:id="rId2"/>
    <sheet name="총괄표" sheetId="3" r:id="rId3"/>
    <sheet name="관별" sheetId="4" r:id="rId4"/>
    <sheet name="세입" sheetId="5" r:id="rId5"/>
    <sheet name="세출" sheetId="6" r:id="rId6"/>
    <sheet name="성질" sheetId="7" r:id="rId7"/>
  </sheets>
  <externalReferences>
    <externalReference r:id="rId10"/>
    <externalReference r:id="rId11"/>
  </externalReferences>
  <definedNames>
    <definedName name="_xlnm.Print_Area" localSheetId="4">'세입'!$A$1:$I$89</definedName>
    <definedName name="_xlnm.Print_Area" localSheetId="2">'총괄표'!$A$1:$G$24</definedName>
    <definedName name="_xlnm.Print_Titles" localSheetId="4">'세입'!$3:$5</definedName>
    <definedName name="_xlnm.Print_Titles" localSheetId="5">'세출'!$2:$4</definedName>
    <definedName name="Z_68F178D3_0354_11D6_9F0E_00C02659FFE6_.wvu.PrintTitles" localSheetId="4" hidden="1">'세입'!$3:$5</definedName>
    <definedName name="Z_68F178D3_0354_11D6_9F0E_00C02659FFE6_.wvu.PrintTitles" localSheetId="5" hidden="1">'세출'!$2:$4</definedName>
  </definedNames>
  <calcPr fullCalcOnLoad="1"/>
</workbook>
</file>

<file path=xl/comments4.xml><?xml version="1.0" encoding="utf-8"?>
<comments xmlns="http://schemas.openxmlformats.org/spreadsheetml/2006/main">
  <authors>
    <author>.</author>
  </authors>
  <commentList>
    <comment ref="D24" authorId="0">
      <text>
        <r>
          <rPr>
            <b/>
            <sz val="9"/>
            <rFont val="굴림"/>
            <family val="3"/>
          </rPr>
          <t>세출예산서가 자동으로 입력됨</t>
        </r>
      </text>
    </comment>
    <comment ref="D3" authorId="0">
      <text>
        <r>
          <rPr>
            <b/>
            <sz val="9"/>
            <rFont val="굴림"/>
            <family val="3"/>
          </rPr>
          <t xml:space="preserve">세입예산서가 자동으로 입력됨 </t>
        </r>
      </text>
    </comment>
    <comment ref="A1" authorId="0">
      <text>
        <r>
          <rPr>
            <b/>
            <sz val="9"/>
            <rFont val="굴림"/>
            <family val="3"/>
          </rPr>
          <t>세입 세출 예산서를 작성하면 자동으로 작성됨으로 입력하지 마시오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D6" authorId="0">
      <text>
        <r>
          <rPr>
            <b/>
            <sz val="9"/>
            <rFont val="굴림"/>
            <family val="3"/>
          </rPr>
          <t>항의 예산액이 자동으로 더해지니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목의 예산액이 자동으로 더해지니 입력하지 마시오</t>
        </r>
      </text>
    </comment>
    <comment ref="E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7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F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2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23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E2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23" authorId="0">
      <text>
        <r>
          <rPr>
            <sz val="9"/>
            <rFont val="굴림"/>
            <family val="3"/>
          </rPr>
          <t xml:space="preserve">목의 예산액이 자동으로 더해짐으로 입력하지 마시오
</t>
        </r>
      </text>
    </comment>
    <comment ref="C24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6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28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28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0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30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2" authorId="0">
      <text>
        <r>
          <rPr>
            <b/>
            <sz val="9"/>
            <rFont val="굴림"/>
            <family val="3"/>
          </rPr>
          <t>법인 유치원만 해당됨</t>
        </r>
      </text>
    </comment>
    <comment ref="F3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34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3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4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52" authorId="0">
      <text>
        <r>
          <rPr>
            <sz val="9"/>
            <rFont val="굴림"/>
            <family val="3"/>
          </rPr>
          <t xml:space="preserve">항의 예산액이 자동으로 더해짐으로 입력하지 마시오
</t>
        </r>
      </text>
    </comment>
    <comment ref="E5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2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3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C54" authorId="0">
      <text>
        <r>
          <rPr>
            <b/>
            <sz val="9"/>
            <rFont val="굴림"/>
            <family val="3"/>
          </rPr>
          <t>전년도 사용잔액</t>
        </r>
      </text>
    </comment>
    <comment ref="F5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58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58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58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59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59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59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64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8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E8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F80" authorId="0">
      <text>
        <r>
          <rPr>
            <b/>
            <sz val="9"/>
            <rFont val="굴림"/>
            <family val="3"/>
          </rPr>
          <t>항의 예산액이 자동으로 더해짐으로 입력하지 마시오</t>
        </r>
      </text>
    </comment>
    <comment ref="D8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1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2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D89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E89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F89" authorId="0">
      <text>
        <r>
          <rPr>
            <b/>
            <sz val="9"/>
            <rFont val="굴림"/>
            <family val="3"/>
          </rPr>
          <t>총계가 자동으로 나옴 입력하지 마시오</t>
        </r>
      </text>
    </comment>
    <comment ref="D8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E8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5" authorId="0">
      <text>
        <r>
          <rPr>
            <b/>
            <sz val="9"/>
            <rFont val="굴림"/>
            <family val="3"/>
          </rPr>
          <t>목의 예산액이 자동으로 더해짐으로 입력하지 마시오</t>
        </r>
      </text>
    </comment>
    <comment ref="F86" authorId="0">
      <text>
        <r>
          <rPr>
            <b/>
            <sz val="9"/>
            <rFont val="굴림"/>
            <family val="3"/>
          </rPr>
          <t>증감이 자동으로 나오니 입력하지 마시오</t>
        </r>
      </text>
    </comment>
    <comment ref="C36" authorId="0">
      <text>
        <r>
          <rPr>
            <b/>
            <sz val="9"/>
            <rFont val="굴림"/>
            <family val="3"/>
          </rPr>
          <t>교육청 지원금</t>
        </r>
      </text>
    </comment>
    <comment ref="C46" authorId="0">
      <text>
        <r>
          <rPr>
            <b/>
            <sz val="9"/>
            <rFont val="굴림"/>
            <family val="3"/>
          </rPr>
          <t>지자체 지원금</t>
        </r>
      </text>
    </comment>
  </commentList>
</comments>
</file>

<file path=xl/comments6.xml><?xml version="1.0" encoding="utf-8"?>
<comments xmlns="http://schemas.openxmlformats.org/spreadsheetml/2006/main">
  <authors>
    <author>.</author>
  </authors>
  <commentList>
    <comment ref="D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E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6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D7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11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D15" authorId="0">
      <text>
        <r>
          <rPr>
            <b/>
            <sz val="9"/>
            <rFont val="굴림"/>
            <family val="3"/>
          </rPr>
          <t>산출기초의 소계가 자동으로 입력됩니다.</t>
        </r>
      </text>
    </comment>
    <comment ref="F18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  <comment ref="F53" authorId="0">
      <text>
        <r>
          <rPr>
            <b/>
            <sz val="9"/>
            <rFont val="굴림"/>
            <family val="3"/>
          </rPr>
          <t>합계가 자동으로 나오니 입력하지 마시오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9"/>
            <rFont val="굴림"/>
            <family val="3"/>
          </rPr>
          <t>세출예산서를 입력하면 자동으로 작성됨</t>
        </r>
      </text>
    </comment>
  </commentList>
</comments>
</file>

<file path=xl/sharedStrings.xml><?xml version="1.0" encoding="utf-8"?>
<sst xmlns="http://schemas.openxmlformats.org/spreadsheetml/2006/main" count="1522" uniqueCount="534">
  <si>
    <t>명</t>
  </si>
  <si>
    <t>월</t>
  </si>
  <si>
    <t>원</t>
  </si>
  <si>
    <t>원</t>
  </si>
  <si>
    <t>회</t>
  </si>
  <si>
    <t>세입·세출 예산 관별 총괄표</t>
  </si>
  <si>
    <t>구분</t>
  </si>
  <si>
    <t>과                목</t>
  </si>
  <si>
    <t>예  산  액</t>
  </si>
  <si>
    <t>전  년  도
예  산  액</t>
  </si>
  <si>
    <t>비       교
증  △  감</t>
  </si>
  <si>
    <t>비     고</t>
  </si>
  <si>
    <t>세입·세출 예산서</t>
  </si>
  <si>
    <t>1. 세   입</t>
  </si>
  <si>
    <t>(단위 : 천원)</t>
  </si>
  <si>
    <t>과                  목</t>
  </si>
  <si>
    <t>예 산 액</t>
  </si>
  <si>
    <t>전 년 도
예 산 액</t>
  </si>
  <si>
    <t>비     교
증 △ 감</t>
  </si>
  <si>
    <t>산      출        기      초  (원)</t>
  </si>
  <si>
    <t>관</t>
  </si>
  <si>
    <t>항</t>
  </si>
  <si>
    <t>목</t>
  </si>
  <si>
    <t>소                계</t>
  </si>
  <si>
    <t>=</t>
  </si>
  <si>
    <t>세   입     합   계</t>
  </si>
  <si>
    <t>2. 세   출</t>
  </si>
  <si>
    <t>월</t>
  </si>
  <si>
    <t>소                    계</t>
  </si>
  <si>
    <t>구           분</t>
  </si>
  <si>
    <t>비    고</t>
  </si>
  <si>
    <t>경비명</t>
  </si>
  <si>
    <t>세   부   구   분</t>
  </si>
  <si>
    <t>구성비</t>
  </si>
  <si>
    <t>집 행 액</t>
  </si>
  <si>
    <t>1.인건비</t>
  </si>
  <si>
    <t>합                  계</t>
  </si>
  <si>
    <t>1.인건비</t>
  </si>
  <si>
    <t>=</t>
  </si>
  <si>
    <t>원</t>
  </si>
  <si>
    <t>소                         계</t>
  </si>
  <si>
    <t>계</t>
  </si>
  <si>
    <t>1.예비비</t>
  </si>
  <si>
    <t>세   출     합   계</t>
  </si>
  <si>
    <t>(단위 : 천원)</t>
  </si>
  <si>
    <t>예   산   액</t>
  </si>
  <si>
    <t>전년도 예산액</t>
  </si>
  <si>
    <t>증  감</t>
  </si>
  <si>
    <t>예 산 액</t>
  </si>
  <si>
    <t>- 교직원</t>
  </si>
  <si>
    <t>회</t>
  </si>
  <si>
    <t>월</t>
  </si>
  <si>
    <t>명</t>
  </si>
  <si>
    <t xml:space="preserve"> </t>
  </si>
  <si>
    <t>ㅇ 급식비</t>
  </si>
  <si>
    <t>1.사용료및수수료</t>
  </si>
  <si>
    <t>1.납교금</t>
  </si>
  <si>
    <t>1.입학금</t>
  </si>
  <si>
    <t xml:space="preserve">ㅇ 입학금    </t>
  </si>
  <si>
    <t>2.수업료</t>
  </si>
  <si>
    <t xml:space="preserve">ㅇ 각종증명료    </t>
  </si>
  <si>
    <t>3.증명료</t>
  </si>
  <si>
    <r>
      <t>1</t>
    </r>
    <r>
      <rPr>
        <sz val="10"/>
        <rFont val="바탕"/>
        <family val="1"/>
      </rPr>
      <t>. 국내보조금</t>
    </r>
  </si>
  <si>
    <r>
      <t>2</t>
    </r>
    <r>
      <rPr>
        <sz val="10"/>
        <rFont val="바탕"/>
        <family val="1"/>
      </rPr>
      <t>. 전입금</t>
    </r>
  </si>
  <si>
    <t>1.연금부담금</t>
  </si>
  <si>
    <t>3.원조보조금</t>
  </si>
  <si>
    <t>4.이월금</t>
  </si>
  <si>
    <r>
      <t>1</t>
    </r>
    <r>
      <rPr>
        <sz val="10"/>
        <rFont val="바탕"/>
        <family val="1"/>
      </rPr>
      <t>. 전년도이월금</t>
    </r>
  </si>
  <si>
    <r>
      <t>1</t>
    </r>
    <r>
      <rPr>
        <sz val="10"/>
        <rFont val="바탕"/>
        <family val="1"/>
      </rPr>
      <t>. 전년도불용액</t>
    </r>
  </si>
  <si>
    <t xml:space="preserve"> ㅇ 전년도불용액</t>
  </si>
  <si>
    <r>
      <t>1</t>
    </r>
    <r>
      <rPr>
        <sz val="10"/>
        <rFont val="바탕"/>
        <family val="1"/>
      </rPr>
      <t>. 수익자부담교육비</t>
    </r>
  </si>
  <si>
    <r>
      <t>6</t>
    </r>
    <r>
      <rPr>
        <sz val="10"/>
        <rFont val="바탕"/>
        <family val="1"/>
      </rPr>
      <t>.잡수입</t>
    </r>
  </si>
  <si>
    <r>
      <t>1</t>
    </r>
    <r>
      <rPr>
        <sz val="10"/>
        <rFont val="바탕"/>
        <family val="1"/>
      </rPr>
      <t>.예금이자</t>
    </r>
  </si>
  <si>
    <t>1.예금이자</t>
  </si>
  <si>
    <t xml:space="preserve"> ㅇ 예금이자</t>
  </si>
  <si>
    <r>
      <t>1</t>
    </r>
    <r>
      <rPr>
        <sz val="10"/>
        <rFont val="바탕"/>
        <family val="1"/>
      </rPr>
      <t>.봉급</t>
    </r>
  </si>
  <si>
    <t>1.교원봉급</t>
  </si>
  <si>
    <t>◎ 교원봉급</t>
  </si>
  <si>
    <r>
      <t>2</t>
    </r>
    <r>
      <rPr>
        <sz val="10"/>
        <rFont val="바탕"/>
        <family val="1"/>
      </rPr>
      <t>.정액수당</t>
    </r>
  </si>
  <si>
    <t>1.교원수당</t>
  </si>
  <si>
    <t>세입·세출예산 총괄표</t>
  </si>
  <si>
    <t>세입·세출 차인잔액 없음</t>
  </si>
  <si>
    <t>현장학습비</t>
  </si>
  <si>
    <t>학교급식비</t>
  </si>
  <si>
    <r>
      <t xml:space="preserve"> </t>
    </r>
    <r>
      <rPr>
        <sz val="10"/>
        <rFont val="바탕"/>
        <family val="1"/>
      </rPr>
      <t xml:space="preserve"> o  학교안전공제회비</t>
    </r>
  </si>
  <si>
    <r>
      <t>1</t>
    </r>
    <r>
      <rPr>
        <sz val="10"/>
        <rFont val="바탕"/>
        <family val="1"/>
      </rPr>
      <t>.체육행사비</t>
    </r>
  </si>
  <si>
    <t>일</t>
  </si>
  <si>
    <t>2.관리운영비</t>
  </si>
  <si>
    <t>3.연구장학비</t>
  </si>
  <si>
    <t>4.보건체육비</t>
  </si>
  <si>
    <t>1.봉급</t>
  </si>
  <si>
    <t>1.학교교육비</t>
  </si>
  <si>
    <t>2.건물유지비</t>
  </si>
  <si>
    <t>1.의료비</t>
  </si>
  <si>
    <t>2체육행사비</t>
  </si>
  <si>
    <t>3.체력검사비</t>
  </si>
  <si>
    <t>1.연구비</t>
  </si>
  <si>
    <t>"세입·세출예산서"와 같다.</t>
  </si>
  <si>
    <t>제 2 조</t>
  </si>
  <si>
    <t xml:space="preserve">제 3 조 </t>
  </si>
  <si>
    <t xml:space="preserve">제 4 조 </t>
  </si>
  <si>
    <t>사학기관재무·회계규칙 제21조 제3항 및 제4항의 규정에</t>
  </si>
  <si>
    <t>의하여 예산액의 부족액이 있는 경우 항간 또는 목간 전용</t>
  </si>
  <si>
    <t>할 수 있으나, 다음 비목의 예산을 타비목에 전용할 수 없다.</t>
  </si>
  <si>
    <t>2. 시설비</t>
  </si>
  <si>
    <t>3. 상환금. 다만, 원금과 이자는 상호 전용할 수 있다.</t>
  </si>
  <si>
    <t>제 5 조</t>
  </si>
  <si>
    <t xml:space="preserve">교육청 또는 지방자치단체로부터 용도가 지정되고 전액이 교부 또는 </t>
  </si>
  <si>
    <t>회계연도내의 차기 추가경정예산에 반영한다.</t>
  </si>
  <si>
    <t>기탁된 경비는 추가경정예산의 성립 이전에 사용할 수 있으며, 이는 동일</t>
  </si>
  <si>
    <t>유치원 학교회계 세출예산 성질별 조서</t>
  </si>
  <si>
    <t>5.예비비</t>
  </si>
  <si>
    <t>6.학교운영지원비</t>
  </si>
  <si>
    <r>
      <t>5</t>
    </r>
    <r>
      <rPr>
        <sz val="10"/>
        <rFont val="바탕"/>
        <family val="1"/>
      </rPr>
      <t>.학교운영지원비</t>
    </r>
  </si>
  <si>
    <t>4.퇴직부담금</t>
  </si>
  <si>
    <t>금</t>
  </si>
  <si>
    <t>세  입 :</t>
  </si>
  <si>
    <t>원</t>
  </si>
  <si>
    <t>세  출 :</t>
  </si>
  <si>
    <t>3.건강보험부담금</t>
  </si>
  <si>
    <t>◎ 공과보험료</t>
  </si>
  <si>
    <t>◎ 체육행사비</t>
  </si>
  <si>
    <t xml:space="preserve">제 1 조  </t>
  </si>
  <si>
    <t>1.법인부담금</t>
  </si>
  <si>
    <t>3.공과보험료</t>
  </si>
  <si>
    <r>
      <t>ㅇ 기본과정</t>
    </r>
    <r>
      <rPr>
        <sz val="10"/>
        <rFont val="바탕"/>
        <family val="1"/>
      </rPr>
      <t xml:space="preserve"> 수업료</t>
    </r>
  </si>
  <si>
    <r>
      <t xml:space="preserve">ㅇ 방과후과정 </t>
    </r>
    <r>
      <rPr>
        <sz val="10"/>
        <rFont val="바탕"/>
        <family val="1"/>
      </rPr>
      <t>수업료</t>
    </r>
  </si>
  <si>
    <t>*</t>
  </si>
  <si>
    <t>1. 봉   급</t>
  </si>
  <si>
    <t>예    산    총    칙</t>
  </si>
  <si>
    <t>광양제철유치원 회계 세입·세출 예산서</t>
  </si>
  <si>
    <t xml:space="preserve"> 광 양 제 철 유 치 원</t>
  </si>
  <si>
    <t>방과후활동비</t>
  </si>
  <si>
    <r>
      <t>3</t>
    </r>
    <r>
      <rPr>
        <sz val="10"/>
        <rFont val="바탕"/>
        <family val="1"/>
      </rPr>
      <t xml:space="preserve">00원 × </t>
    </r>
    <r>
      <rPr>
        <sz val="10"/>
        <rFont val="바탕"/>
        <family val="1"/>
      </rPr>
      <t>0회</t>
    </r>
  </si>
  <si>
    <t xml:space="preserve">ㅇ 교직원 연금부담금   </t>
  </si>
  <si>
    <t>2.재해보상부담금</t>
  </si>
  <si>
    <t xml:space="preserve">ㅇ 교직원 재해보상부담금   </t>
  </si>
  <si>
    <t xml:space="preserve">ㅇ 교직원 건강보험부담금    </t>
  </si>
  <si>
    <t>4.기간제교사퇴직금</t>
  </si>
  <si>
    <r>
      <t>ㅇ 기간제교원</t>
    </r>
    <r>
      <rPr>
        <sz val="10"/>
        <rFont val="바탕"/>
        <family val="1"/>
      </rPr>
      <t xml:space="preserve"> 퇴직부담금</t>
    </r>
  </si>
  <si>
    <t>5.학교운영비</t>
  </si>
  <si>
    <t xml:space="preserve">ㅇ 학교운영비   </t>
  </si>
  <si>
    <r>
      <t xml:space="preserve"> ㅇ 학교급식</t>
    </r>
    <r>
      <rPr>
        <sz val="10"/>
        <rFont val="바탕"/>
        <family val="1"/>
      </rPr>
      <t xml:space="preserve"> 식재료구입지원비</t>
    </r>
  </si>
  <si>
    <t>3,000,000원 × 1회</t>
  </si>
  <si>
    <t>1. 방과후활동비</t>
  </si>
  <si>
    <t>2. 현장학습비</t>
  </si>
  <si>
    <t>3. 학교급식비</t>
  </si>
  <si>
    <t>- 원아</t>
  </si>
  <si>
    <t>ㅇ 간식비</t>
  </si>
  <si>
    <t>4. 기타수익자부담교육비</t>
  </si>
  <si>
    <t>비     교
증 △ 감</t>
  </si>
  <si>
    <t>×</t>
  </si>
  <si>
    <t>=</t>
  </si>
  <si>
    <t>◎ 정근수당</t>
  </si>
  <si>
    <t>2.사무원봉급</t>
  </si>
  <si>
    <t>◎ 사무원봉급</t>
  </si>
  <si>
    <t>3.고용원봉급</t>
  </si>
  <si>
    <t>◎ 고용원봉급</t>
  </si>
  <si>
    <t>◎ 교직수당</t>
  </si>
  <si>
    <t>◎ 정근수당가산금</t>
  </si>
  <si>
    <t xml:space="preserve">    가. 25년이상</t>
  </si>
  <si>
    <t>◎ 보전수당</t>
  </si>
  <si>
    <t xml:space="preserve">    가. 원감</t>
  </si>
  <si>
    <t>◎ 가족수당</t>
  </si>
  <si>
    <t xml:space="preserve">    가. 배우자</t>
  </si>
  <si>
    <t xml:space="preserve">    나. 부양가족</t>
  </si>
  <si>
    <t>◎ 학급담임수당</t>
  </si>
  <si>
    <t>◎ 보건활동수당</t>
  </si>
  <si>
    <t>◎ 중.고자녀학비보조수당</t>
  </si>
  <si>
    <t>2. 사무직원수당</t>
  </si>
  <si>
    <t>◎ 정근수당가산금</t>
  </si>
  <si>
    <t>원</t>
  </si>
  <si>
    <t>×</t>
  </si>
  <si>
    <t>명</t>
  </si>
  <si>
    <t>월</t>
  </si>
  <si>
    <t>=</t>
  </si>
  <si>
    <t>◎ 가족수당</t>
  </si>
  <si>
    <t xml:space="preserve">    가. 배우자</t>
  </si>
  <si>
    <t>원</t>
  </si>
  <si>
    <t xml:space="preserve">    나. 부양가족</t>
  </si>
  <si>
    <t>3.임시직</t>
  </si>
  <si>
    <t>1. 임시직급여</t>
  </si>
  <si>
    <t>◎ 기간제교사급여</t>
  </si>
  <si>
    <t>◎ 기간제교사정액수당</t>
  </si>
  <si>
    <t>◎ 기간제교사초과근무</t>
  </si>
  <si>
    <t>◎ 기간제교사복리후생</t>
  </si>
  <si>
    <r>
      <t>1</t>
    </r>
    <r>
      <rPr>
        <sz val="10"/>
        <rFont val="바탕"/>
        <family val="1"/>
      </rPr>
      <t>. 연금부담금</t>
    </r>
  </si>
  <si>
    <t xml:space="preserve"> ◎ 교원사학연금부담금</t>
  </si>
  <si>
    <t>원</t>
  </si>
  <si>
    <t>×</t>
  </si>
  <si>
    <t>월</t>
  </si>
  <si>
    <t>=</t>
  </si>
  <si>
    <t xml:space="preserve"> ◎ 직원사학연금부담금</t>
  </si>
  <si>
    <t>원</t>
  </si>
  <si>
    <r>
      <t xml:space="preserve">소 </t>
    </r>
    <r>
      <rPr>
        <sz val="10"/>
        <rFont val="바탕"/>
        <family val="1"/>
      </rPr>
      <t xml:space="preserve">                 계</t>
    </r>
  </si>
  <si>
    <t>2.건강보험료</t>
  </si>
  <si>
    <t xml:space="preserve"> ◎ 교원건강보험부담금</t>
  </si>
  <si>
    <t xml:space="preserve"> ◎ 교원노인장기요양보험부담금</t>
  </si>
  <si>
    <t xml:space="preserve"> ◎ 직원건강보험부담금</t>
  </si>
  <si>
    <t xml:space="preserve"> ◎ 직원노인장기요양보험부담금</t>
  </si>
  <si>
    <t>3.재해보상부담금</t>
  </si>
  <si>
    <t xml:space="preserve"> ◎ 교원재해보상부담금</t>
  </si>
  <si>
    <t xml:space="preserve"> ◎ 직원재해보상부담금</t>
  </si>
  <si>
    <t>◎ 기간제교원퇴직부담금</t>
  </si>
  <si>
    <t>◎ 기타교원퇴직부담금</t>
  </si>
  <si>
    <t>◎ 직원퇴직부담금</t>
  </si>
  <si>
    <t xml:space="preserve"> ◎ 교원국민연금부담금</t>
  </si>
  <si>
    <t xml:space="preserve"> ◎ 직원국민연금부담금</t>
  </si>
  <si>
    <t xml:space="preserve"> ◎ 교원고용보험부담금</t>
  </si>
  <si>
    <t xml:space="preserve"> ◎ 직원고용보험부담금</t>
  </si>
  <si>
    <t xml:space="preserve"> ◎ 교원산재보험부담금</t>
  </si>
  <si>
    <t xml:space="preserve"> ◎ 직원산재보험부담금</t>
  </si>
  <si>
    <r>
      <t>1</t>
    </r>
    <r>
      <rPr>
        <sz val="10"/>
        <rFont val="바탕"/>
        <family val="1"/>
      </rPr>
      <t>.강사료</t>
    </r>
  </si>
  <si>
    <t xml:space="preserve"> ◎ 유치원보조강사</t>
  </si>
  <si>
    <t xml:space="preserve"> </t>
  </si>
  <si>
    <t>2.초과근무수당</t>
  </si>
  <si>
    <t xml:space="preserve"> ◎ 교원시간외수당</t>
  </si>
  <si>
    <t xml:space="preserve"> ◎ 직원시간외수당</t>
  </si>
  <si>
    <t>3.직급보조비</t>
  </si>
  <si>
    <t xml:space="preserve"> ◎ 교원직급보조비(원감)</t>
  </si>
  <si>
    <t xml:space="preserve"> ◎ 직원직급보조비</t>
  </si>
  <si>
    <t>월</t>
  </si>
  <si>
    <t>4.교원복리후생비</t>
  </si>
  <si>
    <t xml:space="preserve"> ◎ 교원정액급식비</t>
  </si>
  <si>
    <t>명</t>
  </si>
  <si>
    <t>×</t>
  </si>
  <si>
    <t xml:space="preserve"> ◎ 교원명절휴가비</t>
  </si>
  <si>
    <t>5.직원복리후생비</t>
  </si>
  <si>
    <t xml:space="preserve"> ◎ 직원정액급식비</t>
  </si>
  <si>
    <t xml:space="preserve"> ◎ 직원명절휴가비</t>
  </si>
  <si>
    <t xml:space="preserve"> ◎ 직원연가보상비</t>
  </si>
  <si>
    <t>회</t>
  </si>
  <si>
    <t>6.기타수당</t>
  </si>
  <si>
    <t xml:space="preserve"> ◎ 교원성과상여금</t>
  </si>
  <si>
    <t xml:space="preserve"> ◎ 직원성과상여금</t>
  </si>
  <si>
    <t>회</t>
  </si>
  <si>
    <t>7.재단특별수당</t>
  </si>
  <si>
    <t xml:space="preserve"> ◎ 교원제철수당</t>
  </si>
  <si>
    <t xml:space="preserve"> ◎ 교원개인연금지원금</t>
  </si>
  <si>
    <t xml:space="preserve"> ◎ 직원개인연금지원금</t>
  </si>
  <si>
    <t xml:space="preserve"> ◎ 교원대학자녀학비보조수당</t>
  </si>
  <si>
    <t xml:space="preserve"> ◎ 직원유.초자녀학비수당</t>
  </si>
  <si>
    <r>
      <t>1</t>
    </r>
    <r>
      <rPr>
        <sz val="10"/>
        <rFont val="바탕"/>
        <family val="1"/>
      </rPr>
      <t>.학교운영비</t>
    </r>
  </si>
  <si>
    <t>1학교교육비</t>
  </si>
  <si>
    <t>◎ 공공요금 및 제세공과금</t>
  </si>
  <si>
    <r>
      <t xml:space="preserve"> </t>
    </r>
    <r>
      <rPr>
        <sz val="10"/>
        <rFont val="바탕"/>
        <family val="1"/>
      </rPr>
      <t xml:space="preserve"> o  전기요금</t>
    </r>
  </si>
  <si>
    <t>×</t>
  </si>
  <si>
    <t xml:space="preserve">  ㅇ 일반전화사용료</t>
  </si>
  <si>
    <t xml:space="preserve">  ㅇ 공용휴대폰사용료</t>
  </si>
  <si>
    <r>
      <t xml:space="preserve"> </t>
    </r>
    <r>
      <rPr>
        <sz val="10"/>
        <rFont val="바탕"/>
        <family val="1"/>
      </rPr>
      <t xml:space="preserve"> ㅇ 일반우편료</t>
    </r>
    <r>
      <rPr>
        <sz val="10"/>
        <rFont val="바탕"/>
        <family val="1"/>
      </rPr>
      <t xml:space="preserve"> </t>
    </r>
  </si>
  <si>
    <t xml:space="preserve">  ㅇ 상하수도요금</t>
  </si>
  <si>
    <t xml:space="preserve">  ㅇ 환경개선부담금</t>
  </si>
  <si>
    <r>
      <t xml:space="preserve">  ㅇ 난방비</t>
    </r>
    <r>
      <rPr>
        <sz val="10"/>
        <rFont val="바탕"/>
        <family val="1"/>
      </rPr>
      <t>(12~5)</t>
    </r>
  </si>
  <si>
    <t xml:space="preserve">  ㅇ 유틸리티사용료</t>
  </si>
  <si>
    <t xml:space="preserve">  ㅇ 기타연료</t>
  </si>
  <si>
    <t xml:space="preserve">  ㅇ 무인경비수수료</t>
  </si>
  <si>
    <t xml:space="preserve">  ㅇ 방역수수료 및 기타수수료</t>
  </si>
  <si>
    <t xml:space="preserve">  ㅇ 스쿨뱅킹수수료</t>
  </si>
  <si>
    <t xml:space="preserve">  ㅇ 정수기관리비</t>
  </si>
  <si>
    <r>
      <t xml:space="preserve">  ㅇ 등</t>
    </r>
    <r>
      <rPr>
        <sz val="10"/>
        <rFont val="바탕"/>
        <family val="1"/>
      </rPr>
      <t>.</t>
    </r>
    <r>
      <rPr>
        <sz val="10"/>
        <rFont val="바탕"/>
        <family val="1"/>
      </rPr>
      <t>하교차량용역비</t>
    </r>
  </si>
  <si>
    <t>대</t>
  </si>
  <si>
    <r>
      <t xml:space="preserve">  ㅇ </t>
    </r>
    <r>
      <rPr>
        <sz val="10"/>
        <rFont val="바탕"/>
        <family val="1"/>
      </rPr>
      <t>N/W라인정비보수비</t>
    </r>
  </si>
  <si>
    <t>학급</t>
  </si>
  <si>
    <r>
      <t xml:space="preserve">  ㅇ 인쇄비</t>
    </r>
    <r>
      <rPr>
        <sz val="10"/>
        <rFont val="바탕"/>
        <family val="1"/>
      </rPr>
      <t>(간행물)</t>
    </r>
  </si>
  <si>
    <t xml:space="preserve">  ㅇ 사립유치원월례회비</t>
  </si>
  <si>
    <t xml:space="preserve">  ㅇ 유치원총연합회비</t>
  </si>
  <si>
    <t xml:space="preserve">  ㅇ 방화관리자회비</t>
  </si>
  <si>
    <t xml:space="preserve">  ㅇ 조직활성화경비</t>
  </si>
  <si>
    <t>년</t>
  </si>
  <si>
    <t xml:space="preserve"> </t>
  </si>
  <si>
    <t xml:space="preserve"> </t>
  </si>
  <si>
    <t>◎ 자산취득비</t>
  </si>
  <si>
    <t>개</t>
  </si>
  <si>
    <r>
      <t>2</t>
    </r>
    <r>
      <rPr>
        <sz val="10"/>
        <rFont val="바탕"/>
        <family val="1"/>
      </rPr>
      <t>.재산관리비</t>
    </r>
  </si>
  <si>
    <r>
      <t>1</t>
    </r>
    <r>
      <rPr>
        <sz val="10"/>
        <rFont val="바탕"/>
        <family val="1"/>
      </rPr>
      <t>.</t>
    </r>
    <r>
      <rPr>
        <sz val="10"/>
        <rFont val="바탕"/>
        <family val="1"/>
      </rPr>
      <t>건물유지비</t>
    </r>
  </si>
  <si>
    <t>◎ 건물유지비</t>
  </si>
  <si>
    <t xml:space="preserve">  ㅇ 소방설비 법정안전점검</t>
  </si>
  <si>
    <t xml:space="preserve">  ㅇ 학교건물소보수비</t>
  </si>
  <si>
    <t xml:space="preserve">  ㅇ 기타건물유지비</t>
  </si>
  <si>
    <r>
      <t>2</t>
    </r>
    <r>
      <rPr>
        <sz val="10"/>
        <rFont val="바탕"/>
        <family val="1"/>
      </rPr>
      <t>.설비유지비</t>
    </r>
  </si>
  <si>
    <t>◎ 통신협력작업비</t>
  </si>
  <si>
    <r>
      <t xml:space="preserve"> </t>
    </r>
    <r>
      <rPr>
        <sz val="10"/>
        <rFont val="바탕"/>
        <family val="1"/>
      </rPr>
      <t xml:space="preserve"> o  전자교환기유지보수비</t>
    </r>
  </si>
  <si>
    <t>년</t>
  </si>
  <si>
    <r>
      <t xml:space="preserve"> </t>
    </r>
    <r>
      <rPr>
        <sz val="10"/>
        <rFont val="바탕"/>
        <family val="1"/>
      </rPr>
      <t xml:space="preserve"> o  통신협력작업비</t>
    </r>
  </si>
  <si>
    <r>
      <t xml:space="preserve"> </t>
    </r>
    <r>
      <rPr>
        <sz val="10"/>
        <rFont val="바탕"/>
        <family val="1"/>
      </rPr>
      <t xml:space="preserve"> o  시청각설비유지비</t>
    </r>
  </si>
  <si>
    <t>3.녹화관리비</t>
  </si>
  <si>
    <t>◎ 녹화협력작업비</t>
  </si>
  <si>
    <r>
      <t xml:space="preserve"> </t>
    </r>
    <r>
      <rPr>
        <sz val="10"/>
        <rFont val="바탕"/>
        <family val="1"/>
      </rPr>
      <t xml:space="preserve"> o  녹화협력작업고정비</t>
    </r>
  </si>
  <si>
    <r>
      <t xml:space="preserve"> </t>
    </r>
    <r>
      <rPr>
        <sz val="10"/>
        <rFont val="바탕"/>
        <family val="1"/>
      </rPr>
      <t xml:space="preserve"> o  녹화협력작업변동비</t>
    </r>
  </si>
  <si>
    <r>
      <t>4</t>
    </r>
    <r>
      <rPr>
        <sz val="10"/>
        <rFont val="바탕"/>
        <family val="1"/>
      </rPr>
      <t>.보건체육비</t>
    </r>
  </si>
  <si>
    <r>
      <t>1</t>
    </r>
    <r>
      <rPr>
        <sz val="10"/>
        <rFont val="바탕"/>
        <family val="1"/>
      </rPr>
      <t>.학생보건비</t>
    </r>
  </si>
  <si>
    <r>
      <t>1</t>
    </r>
    <r>
      <rPr>
        <sz val="10"/>
        <rFont val="바탕"/>
        <family val="1"/>
      </rPr>
      <t>.의료비</t>
    </r>
  </si>
  <si>
    <t>◎ 의료비 (원아상비약품구입)</t>
  </si>
  <si>
    <r>
      <t>2</t>
    </r>
    <r>
      <rPr>
        <sz val="10"/>
        <rFont val="바탕"/>
        <family val="1"/>
      </rPr>
      <t>.체력관리비</t>
    </r>
  </si>
  <si>
    <t>학급</t>
  </si>
  <si>
    <t>◎ 예비비</t>
  </si>
  <si>
    <t>수익자부담금</t>
  </si>
  <si>
    <r>
      <t>1</t>
    </r>
    <r>
      <rPr>
        <sz val="10"/>
        <rFont val="바탕"/>
        <family val="1"/>
      </rPr>
      <t>.방과후활동비</t>
    </r>
  </si>
  <si>
    <t xml:space="preserve"> ㅇ 방과후교육활동비교육비</t>
  </si>
  <si>
    <t xml:space="preserve"> ㅇ 방과후교육활동비운영비</t>
  </si>
  <si>
    <r>
      <t>2</t>
    </r>
    <r>
      <rPr>
        <sz val="10"/>
        <rFont val="바탕"/>
        <family val="1"/>
      </rPr>
      <t>.현장학습비</t>
    </r>
  </si>
  <si>
    <t>ㅇ 현장체험학습</t>
  </si>
  <si>
    <t>3.학교급식비</t>
  </si>
  <si>
    <r>
      <t xml:space="preserve"> </t>
    </r>
    <r>
      <rPr>
        <sz val="10"/>
        <rFont val="바탕"/>
        <family val="1"/>
      </rPr>
      <t xml:space="preserve"> - 식품비</t>
    </r>
  </si>
  <si>
    <t>4.기타수익자부담금</t>
  </si>
  <si>
    <t>ㅇ 인건비</t>
  </si>
  <si>
    <t>ㅇ 영양사</t>
  </si>
  <si>
    <t xml:space="preserve"> ㅇ 연봉</t>
  </si>
  <si>
    <t xml:space="preserve"> ㅇ 연차수당 </t>
  </si>
  <si>
    <t xml:space="preserve"> ㅇ 각종보험료 </t>
  </si>
  <si>
    <t xml:space="preserve">  - 국민연금</t>
  </si>
  <si>
    <t>%</t>
  </si>
  <si>
    <t xml:space="preserve">  - 고용보험</t>
  </si>
  <si>
    <t xml:space="preserve">  - 건강보험</t>
  </si>
  <si>
    <t xml:space="preserve">  - 산재보험</t>
  </si>
  <si>
    <t xml:space="preserve"> ㅇ 퇴직적립금  </t>
  </si>
  <si>
    <t>/</t>
  </si>
  <si>
    <t>ㅇ 조리사</t>
  </si>
  <si>
    <t>ㅇ 조리보조</t>
  </si>
  <si>
    <t xml:space="preserve"> ㅇ기타교육교재비</t>
  </si>
  <si>
    <t>ㅁ 연료비</t>
  </si>
  <si>
    <t>- 연료비 (LPG)</t>
  </si>
  <si>
    <t>㎥</t>
  </si>
  <si>
    <t>ㅁ 운영비 (10%이내)</t>
  </si>
  <si>
    <t>- 전화요금</t>
  </si>
  <si>
    <t>- 소모품 구입</t>
  </si>
  <si>
    <t>- 정수기 필터</t>
  </si>
  <si>
    <t>- 급식소 소독비</t>
  </si>
  <si>
    <t>- 가스 안전점검 수수료</t>
  </si>
  <si>
    <t>- 가스사고보험료</t>
  </si>
  <si>
    <t>- 세균검사 수수료</t>
  </si>
  <si>
    <t xml:space="preserve"> ㅇ방과후과정운영비</t>
  </si>
  <si>
    <t xml:space="preserve"> ㅇ누리과정 유아학비지원금</t>
  </si>
  <si>
    <t>잡수입</t>
  </si>
  <si>
    <t xml:space="preserve"> </t>
  </si>
  <si>
    <t>1.기타잡수입</t>
  </si>
  <si>
    <t xml:space="preserve"> </t>
  </si>
  <si>
    <t xml:space="preserve"> ㅇ 잡수입</t>
  </si>
  <si>
    <t xml:space="preserve">    나. 20년-25년</t>
  </si>
  <si>
    <t xml:space="preserve">    가. 20년-25년</t>
  </si>
  <si>
    <t xml:space="preserve">    나. 15년-20년</t>
  </si>
  <si>
    <t>3. 고용원수당</t>
  </si>
  <si>
    <t>◎ 고용원명절휴가보전금</t>
  </si>
  <si>
    <t>◎ 고용원교통보조비</t>
  </si>
  <si>
    <t>◎ 고용원가족수당</t>
  </si>
  <si>
    <t>◎ 고용원처우개선비</t>
  </si>
  <si>
    <t>◎ 고용원시간외수당</t>
  </si>
  <si>
    <t xml:space="preserve">  ㅇ 차량운영비</t>
  </si>
  <si>
    <t>대</t>
  </si>
  <si>
    <r>
      <t xml:space="preserve">  ㅇ</t>
    </r>
    <r>
      <rPr>
        <sz val="10"/>
        <rFont val="바탕"/>
        <family val="1"/>
      </rPr>
      <t xml:space="preserve"> 환경직용역비</t>
    </r>
  </si>
  <si>
    <t xml:space="preserve">  ㅇ유치원운영위원회회의비</t>
  </si>
  <si>
    <t>개</t>
  </si>
  <si>
    <t>월</t>
  </si>
  <si>
    <t>명</t>
  </si>
  <si>
    <t xml:space="preserve"> ㅇ방과후과정강사료</t>
  </si>
  <si>
    <t xml:space="preserve"> ㅇ방과후과정교원부담금</t>
  </si>
  <si>
    <t>월</t>
  </si>
  <si>
    <r>
      <t xml:space="preserve"> </t>
    </r>
    <r>
      <rPr>
        <sz val="10"/>
        <rFont val="바탕"/>
        <family val="1"/>
      </rPr>
      <t xml:space="preserve"> o  화재보험료</t>
    </r>
  </si>
  <si>
    <t xml:space="preserve"> </t>
  </si>
  <si>
    <t>◎ 공통운영비</t>
  </si>
  <si>
    <t xml:space="preserve">  ㅇ 차량종합보험료</t>
  </si>
  <si>
    <r>
      <t xml:space="preserve">  ㅇ 전산비품</t>
    </r>
    <r>
      <rPr>
        <sz val="10"/>
        <rFont val="바탕"/>
        <family val="1"/>
      </rPr>
      <t>(PC정비)수선비</t>
    </r>
  </si>
  <si>
    <r>
      <t xml:space="preserve"> </t>
    </r>
    <r>
      <rPr>
        <sz val="10"/>
        <rFont val="바탕"/>
        <family val="1"/>
      </rPr>
      <t xml:space="preserve"> ㅇ 일반비품수선비</t>
    </r>
  </si>
  <si>
    <r>
      <t xml:space="preserve">  ㅇ</t>
    </r>
    <r>
      <rPr>
        <sz val="10"/>
        <rFont val="바탕"/>
        <family val="1"/>
      </rPr>
      <t xml:space="preserve"> 전산용품(토너외1종)</t>
    </r>
  </si>
  <si>
    <t xml:space="preserve">  ㅇ 사무용품 구입</t>
  </si>
  <si>
    <t xml:space="preserve">     -복사용지(A4)</t>
  </si>
  <si>
    <t>원</t>
  </si>
  <si>
    <t>상자</t>
  </si>
  <si>
    <t>=</t>
  </si>
  <si>
    <t xml:space="preserve">     -복사용지(B4)</t>
  </si>
  <si>
    <t xml:space="preserve">     -복사용지(B5)</t>
  </si>
  <si>
    <t>◎ 교수학습활동비</t>
  </si>
  <si>
    <t xml:space="preserve">  ㅇ 도서구입</t>
  </si>
  <si>
    <t>권</t>
  </si>
  <si>
    <t xml:space="preserve">  ㅇ 국내여비</t>
  </si>
  <si>
    <t xml:space="preserve">  ㅇ 보조사업비</t>
  </si>
  <si>
    <t xml:space="preserve">  ㅇ 기타잡지출</t>
  </si>
  <si>
    <t xml:space="preserve"> </t>
  </si>
  <si>
    <t xml:space="preserve">  ㅇ 교구구입</t>
  </si>
  <si>
    <t xml:space="preserve">   -일반교육교재비</t>
  </si>
  <si>
    <t xml:space="preserve">  ㅇ 행사지원</t>
  </si>
  <si>
    <t xml:space="preserve"> -학교급식식재료구입지원비</t>
  </si>
  <si>
    <t xml:space="preserve"> -방과후과정운영비</t>
  </si>
  <si>
    <t xml:space="preserve"> -방과후과정 지원금</t>
  </si>
  <si>
    <t xml:space="preserve"> -예술제및학예회행사</t>
  </si>
  <si>
    <t xml:space="preserve"> -입학식및졸업식행사</t>
  </si>
  <si>
    <t xml:space="preserve">  -특별행사(학부모참관수업)</t>
  </si>
  <si>
    <t xml:space="preserve">  ㅇ 위탁교육훈련비</t>
  </si>
  <si>
    <t xml:space="preserve">  ㅇ 중점사업비</t>
  </si>
  <si>
    <r>
      <t xml:space="preserve">  </t>
    </r>
    <r>
      <rPr>
        <sz val="10"/>
        <rFont val="바탕"/>
        <family val="1"/>
      </rPr>
      <t>-</t>
    </r>
    <r>
      <rPr>
        <sz val="10"/>
        <rFont val="바탕"/>
        <family val="1"/>
      </rPr>
      <t xml:space="preserve"> 독서토론교육</t>
    </r>
  </si>
  <si>
    <r>
      <t xml:space="preserve">  </t>
    </r>
    <r>
      <rPr>
        <sz val="10"/>
        <rFont val="바탕"/>
        <family val="1"/>
      </rPr>
      <t>-</t>
    </r>
    <r>
      <rPr>
        <sz val="10"/>
        <rFont val="바탕"/>
        <family val="1"/>
      </rPr>
      <t xml:space="preserve"> 직무연수비</t>
    </r>
  </si>
  <si>
    <t>◎ 업무추진비</t>
  </si>
  <si>
    <t xml:space="preserve">  ㅇ일반활동비</t>
  </si>
  <si>
    <r>
      <t>2</t>
    </r>
    <r>
      <rPr>
        <sz val="10"/>
        <rFont val="바탕"/>
        <family val="1"/>
      </rPr>
      <t>.관리운영비</t>
    </r>
  </si>
  <si>
    <t>5.부담금</t>
  </si>
  <si>
    <t>6.기타제수당</t>
  </si>
  <si>
    <t>4.비정규직부담금</t>
  </si>
  <si>
    <t>1.기간제퇴직부담금</t>
  </si>
  <si>
    <t>2.직원퇴직부담금</t>
  </si>
  <si>
    <t>4.퇴직부담금</t>
  </si>
  <si>
    <t>2.정액수당</t>
  </si>
  <si>
    <t>6.기타제수당</t>
  </si>
  <si>
    <t>1.방과후활동비</t>
  </si>
  <si>
    <t>2.현장학습비</t>
  </si>
  <si>
    <t>3.기타수익자부담금</t>
  </si>
  <si>
    <t>과목순서는 사학기관재무·회계규칙 과목해소에 의한다.</t>
  </si>
  <si>
    <t>합        계</t>
  </si>
  <si>
    <t>6.학교운영지원비</t>
  </si>
  <si>
    <t>5.예비비</t>
  </si>
  <si>
    <t>체력검사비</t>
  </si>
  <si>
    <t>체육행사비</t>
  </si>
  <si>
    <t>의료비</t>
  </si>
  <si>
    <t>4.보건체육비</t>
  </si>
  <si>
    <t>연구비</t>
  </si>
  <si>
    <t>3.연구장학비</t>
  </si>
  <si>
    <t>학교교육비</t>
  </si>
  <si>
    <t>2.관리운영비</t>
  </si>
  <si>
    <t>연금부담금</t>
  </si>
  <si>
    <t>퇴직부담금</t>
  </si>
  <si>
    <t>봉급</t>
  </si>
  <si>
    <t>1.인건비</t>
  </si>
  <si>
    <t>세       출</t>
  </si>
  <si>
    <t>6.잡수입</t>
  </si>
  <si>
    <t>5.학교운영지원비</t>
  </si>
  <si>
    <t>4.이월금</t>
  </si>
  <si>
    <t>국내보조금</t>
  </si>
  <si>
    <t>3.원조보조금</t>
  </si>
  <si>
    <t>2.전입금</t>
  </si>
  <si>
    <t>증 명 료</t>
  </si>
  <si>
    <t>수 업 료</t>
  </si>
  <si>
    <t>입 학 금</t>
  </si>
  <si>
    <t>1.사용료및수수료</t>
  </si>
  <si>
    <t>세         입</t>
  </si>
  <si>
    <t>(단위 : 천원)</t>
  </si>
  <si>
    <t>재해보상부담금</t>
  </si>
  <si>
    <t>건강보험부담금</t>
  </si>
  <si>
    <t>기간제교사부담금</t>
  </si>
  <si>
    <t>학교운영비</t>
  </si>
  <si>
    <t>기타수익자부담금</t>
  </si>
  <si>
    <t>정액수당</t>
  </si>
  <si>
    <t>임시직</t>
  </si>
  <si>
    <t>부담금</t>
  </si>
  <si>
    <t>기타제수당</t>
  </si>
  <si>
    <t>공과보험료</t>
  </si>
  <si>
    <t>재산관리비</t>
  </si>
  <si>
    <t xml:space="preserve"> </t>
  </si>
  <si>
    <t>=</t>
  </si>
  <si>
    <t>◎ 기간제교사성과상여금</t>
  </si>
  <si>
    <t xml:space="preserve">  ㅇ 비전사업비</t>
  </si>
  <si>
    <t>년</t>
  </si>
  <si>
    <r>
      <t xml:space="preserve">  -</t>
    </r>
    <r>
      <rPr>
        <sz val="10"/>
        <rFont val="바탕"/>
        <family val="1"/>
      </rPr>
      <t xml:space="preserve"> 상담자격취득수당</t>
    </r>
  </si>
  <si>
    <t>원</t>
  </si>
  <si>
    <t>5.공과보험료</t>
  </si>
  <si>
    <t>◎ 기타시설유지비</t>
  </si>
  <si>
    <t>4.기타시설유지비</t>
  </si>
  <si>
    <t xml:space="preserve">  o 환경개선비</t>
  </si>
  <si>
    <t>월</t>
  </si>
  <si>
    <t xml:space="preserve"> ㅇ방과후과정운영비</t>
  </si>
  <si>
    <t xml:space="preserve"> ㅇ 창의력개발학습 및 교구구입지원비</t>
  </si>
  <si>
    <t xml:space="preserve"> 2,000,000원 × 1회</t>
  </si>
  <si>
    <t xml:space="preserve"> ㅇ방과후과정교육비 유아학비지원금</t>
  </si>
  <si>
    <t xml:space="preserve">    가. 고(3학년)</t>
  </si>
  <si>
    <t xml:space="preserve"> </t>
  </si>
  <si>
    <t>◎ 고용원연차수당</t>
  </si>
  <si>
    <t>◎ 고용원장기근무가산금</t>
  </si>
  <si>
    <t>◎ 기간제교사기타수당</t>
  </si>
  <si>
    <t xml:space="preserve"> ◎ 교원연구비</t>
  </si>
  <si>
    <t xml:space="preserve">    가. 원감</t>
  </si>
  <si>
    <t>8.교원연구비</t>
  </si>
  <si>
    <t xml:space="preserve">    나. 0년~4년</t>
  </si>
  <si>
    <t xml:space="preserve">    라. 5년~99년</t>
  </si>
  <si>
    <t xml:space="preserve">    다. 5년~99년</t>
  </si>
  <si>
    <t xml:space="preserve">  ㅇ 차량유류비</t>
  </si>
  <si>
    <t xml:space="preserve">  ㅇ 자동차세</t>
  </si>
  <si>
    <t xml:space="preserve">  ㅇ 홈페이지보완유지보수비</t>
  </si>
  <si>
    <t xml:space="preserve">  ㅇ 모바일 홈페이지 유지보수비</t>
  </si>
  <si>
    <r>
      <t xml:space="preserve"> </t>
    </r>
    <r>
      <rPr>
        <sz val="10"/>
        <rFont val="바탕"/>
        <family val="1"/>
      </rPr>
      <t xml:space="preserve"> ㅇ 복사기임차료</t>
    </r>
  </si>
  <si>
    <r>
      <t xml:space="preserve"> </t>
    </r>
    <r>
      <rPr>
        <sz val="10"/>
        <rFont val="바탕"/>
        <family val="1"/>
      </rPr>
      <t xml:space="preserve"> ㅇ 칼라프린터기임차료</t>
    </r>
  </si>
  <si>
    <t xml:space="preserve">     -화일외50종</t>
  </si>
  <si>
    <t xml:space="preserve">  ㅇ 청소용품 구입</t>
  </si>
  <si>
    <t xml:space="preserve"> -창의성개발교구구입비</t>
  </si>
  <si>
    <t xml:space="preserve">  ㅇ 현장체험학습여비</t>
  </si>
  <si>
    <t xml:space="preserve">      - 관내</t>
  </si>
  <si>
    <t xml:space="preserve">      - 관외</t>
  </si>
  <si>
    <t xml:space="preserve">  - 학부모참여학습경비</t>
  </si>
  <si>
    <r>
      <t xml:space="preserve">  -</t>
    </r>
    <r>
      <rPr>
        <sz val="10"/>
        <rFont val="바탕"/>
        <family val="1"/>
      </rPr>
      <t xml:space="preserve"> 사이버연수비</t>
    </r>
  </si>
  <si>
    <r>
      <t xml:space="preserve"> </t>
    </r>
    <r>
      <rPr>
        <sz val="10"/>
        <rFont val="바탕"/>
        <family val="1"/>
      </rPr>
      <t xml:space="preserve"> o  절수설비 설치비</t>
    </r>
  </si>
  <si>
    <t>회</t>
  </si>
  <si>
    <t>ㅇ 졸업여행</t>
  </si>
  <si>
    <t xml:space="preserve"> ㅇ방과후과정시간강사료</t>
  </si>
  <si>
    <t xml:space="preserve"> ㅇ방과후과정교원퇴직부담금</t>
  </si>
  <si>
    <t>월</t>
  </si>
  <si>
    <t>1. 교육지원청보조금</t>
  </si>
  <si>
    <r>
      <t>2</t>
    </r>
    <r>
      <rPr>
        <sz val="10"/>
        <rFont val="바탕"/>
        <family val="1"/>
      </rPr>
      <t>.시·도보조금</t>
    </r>
  </si>
  <si>
    <r>
      <t>100</t>
    </r>
    <r>
      <rPr>
        <sz val="10"/>
        <rFont val="바탕"/>
        <family val="1"/>
      </rPr>
      <t xml:space="preserve">,000원 × </t>
    </r>
    <r>
      <rPr>
        <sz val="10"/>
        <rFont val="바탕"/>
        <family val="1"/>
      </rPr>
      <t>80</t>
    </r>
    <r>
      <rPr>
        <sz val="10"/>
        <rFont val="바탕"/>
        <family val="1"/>
      </rPr>
      <t>명</t>
    </r>
  </si>
  <si>
    <t>220,000원 × 172명 × 12회</t>
  </si>
  <si>
    <t>70,000원 × 104명  × 12회</t>
  </si>
  <si>
    <t>=</t>
  </si>
  <si>
    <t xml:space="preserve"> ㅇ교육청지원금</t>
  </si>
  <si>
    <t xml:space="preserve"> 1,950원 × 172명 × 214일</t>
  </si>
  <si>
    <t>ㅇ 기타교육교재구입비       10,000원 × 172명 × 12월</t>
  </si>
  <si>
    <t>ㅇ 방과후과정반운영비       85,000원 × 104명 × 12월</t>
  </si>
  <si>
    <t xml:space="preserve">3,500원 × 12명 × 214일 </t>
  </si>
  <si>
    <t>1,000원 × 172명 × 214일</t>
  </si>
  <si>
    <t xml:space="preserve"> ㅇ 현장체험학습      15,000원 × 172명 × 9회</t>
  </si>
  <si>
    <t xml:space="preserve"> ㅇ 졸업여행      70,000원 × 96명 × 1회</t>
  </si>
  <si>
    <t>ㅇ 방과후활동비(3과목)       70,000원 × 104명  × 12월</t>
  </si>
  <si>
    <t>ㅇ 방과후활동비(2과목)       50,000원 × 68명  × 11월</t>
  </si>
  <si>
    <t xml:space="preserve">2016학년도 광양제철유치원 세입·세출 예산 총액은 세입·세출 각각 </t>
  </si>
  <si>
    <t>2016학년도 명시이월사업은 해당사항 없다.</t>
  </si>
  <si>
    <t>2016학년도 계속비 사업은 해당사항 없다.</t>
  </si>
  <si>
    <t>2016학년도</t>
  </si>
  <si>
    <t>년</t>
  </si>
  <si>
    <t xml:space="preserve">  o  2인용 유아그네</t>
  </si>
  <si>
    <t xml:space="preserve">  o  대형텔레비젼</t>
  </si>
  <si>
    <t xml:space="preserve">  o  마루광택기</t>
  </si>
  <si>
    <t xml:space="preserve">  o  아크릴 연대</t>
  </si>
  <si>
    <t xml:space="preserve">  o  코팅기</t>
  </si>
  <si>
    <t xml:space="preserve">  o  침대 매트리스</t>
  </si>
  <si>
    <t>원</t>
  </si>
  <si>
    <t>세트</t>
  </si>
  <si>
    <t>년</t>
  </si>
  <si>
    <t xml:space="preserve">  - 학교재량사업비</t>
  </si>
  <si>
    <t>원</t>
  </si>
  <si>
    <t>=</t>
  </si>
  <si>
    <r>
      <t>69,900</t>
    </r>
    <r>
      <rPr>
        <sz val="10"/>
        <rFont val="바탕"/>
        <family val="1"/>
      </rPr>
      <t xml:space="preserve">원 × </t>
    </r>
    <r>
      <rPr>
        <sz val="10"/>
        <rFont val="바탕"/>
        <family val="1"/>
      </rPr>
      <t>172</t>
    </r>
    <r>
      <rPr>
        <sz val="10"/>
        <rFont val="바탕"/>
        <family val="1"/>
      </rPr>
      <t>명</t>
    </r>
    <r>
      <rPr>
        <sz val="10"/>
        <rFont val="바탕"/>
        <family val="1"/>
      </rPr>
      <t xml:space="preserve"> </t>
    </r>
    <r>
      <rPr>
        <sz val="10"/>
        <rFont val="바탕"/>
        <family val="1"/>
      </rPr>
      <t>×</t>
    </r>
    <r>
      <rPr>
        <sz val="10"/>
        <rFont val="바탕"/>
        <family val="1"/>
      </rPr>
      <t xml:space="preserve"> 12회</t>
    </r>
  </si>
  <si>
    <t xml:space="preserve">  ㅇ 기타복리후생비</t>
  </si>
  <si>
    <t>원</t>
  </si>
  <si>
    <t xml:space="preserve"> -특근식대</t>
  </si>
  <si>
    <t>=</t>
  </si>
  <si>
    <t xml:space="preserve"> -체육행사비</t>
  </si>
  <si>
    <t xml:space="preserve">  ㅇ 기타업무도서구입비</t>
  </si>
  <si>
    <t>1,414,293,000원으로 하며, 세입·세출의 명세는</t>
  </si>
  <si>
    <t>250,000원 × 8학급× 12월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</si>
</sst>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&quot; 월&quot;"/>
    <numFmt numFmtId="178" formatCode="0.0%"/>
    <numFmt numFmtId="179" formatCode="#,##0.0_ "/>
    <numFmt numFmtId="180" formatCode="0_ "/>
    <numFmt numFmtId="181" formatCode="yy&quot;/&quot;m&quot;/&quot;d"/>
    <numFmt numFmtId="182" formatCode="yyyy&quot;/&quot;m&quot;/&quot;d"/>
    <numFmt numFmtId="183" formatCode="yyyy&quot;년&quot;\ m&quot;월&quot;\ d&quot;일&quot;"/>
    <numFmt numFmtId="184" formatCode="yy&quot;년&quot;\ m&quot;월&quot;\ d&quot;일&quot;"/>
    <numFmt numFmtId="185" formatCode="#,##0_ "/>
    <numFmt numFmtId="186" formatCode="&quot;@&quot;#,##0"/>
    <numFmt numFmtId="187" formatCode="mm&quot;월&quot;\ dd&quot;일&quot;"/>
    <numFmt numFmtId="188" formatCode="yyyy/mm/dd&quot;현재&quot;"/>
    <numFmt numFmtId="189" formatCode="yyyy/mm/dd&quot; 현재&quot;"/>
    <numFmt numFmtId="190" formatCode="#,##0,;[Red]&quot;△&quot;#,##0,"/>
    <numFmt numFmtId="191" formatCode="#,##0;&quot;△&quot;#,##0"/>
    <numFmt numFmtId="192" formatCode="_-* #,##0;&quot;△&quot;* #,##0;_-* &quot;-&quot;_-;_-@_-"/>
    <numFmt numFmtId="193" formatCode="#,##0;&quot;△&quot;\ #,##0;@\-"/>
    <numFmt numFmtId="194" formatCode="0.0_);[Red]\(0.0\)"/>
    <numFmt numFmtId="195" formatCode="#,##0.0"/>
    <numFmt numFmtId="196" formatCode="#,##0.0;&quot;△&quot;#,##0.0"/>
    <numFmt numFmtId="197" formatCode="0.0_ "/>
    <numFmt numFmtId="198" formatCode="#,##0.000"/>
    <numFmt numFmtId="199" formatCode="#,##0.00;&quot;△&quot;#,##0.00"/>
    <numFmt numFmtId="200" formatCode="#,##0.000;&quot;△&quot;#,##0.000"/>
    <numFmt numFmtId="201" formatCode="#,##0.0;[Red]&quot;△&quot;#,##0.0"/>
    <numFmt numFmtId="202" formatCode="#,##0.00;[Red]&quot;△&quot;#,##0.00"/>
    <numFmt numFmtId="203" formatCode="#,##0.000;[Red]&quot;△&quot;#,##0.000"/>
    <numFmt numFmtId="204" formatCode="0.000%"/>
    <numFmt numFmtId="205" formatCode="0.0000%"/>
    <numFmt numFmtId="206" formatCode="0;[Red]0"/>
    <numFmt numFmtId="207" formatCode="000\-000"/>
    <numFmt numFmtId="208" formatCode="#,##0.0000;[Red]&quot;△&quot;#,##0.0000"/>
    <numFmt numFmtId="209" formatCode="#,##0.00000;[Red]&quot;△&quot;#,##0.00000"/>
    <numFmt numFmtId="210" formatCode="#,##0.000000;[Red]&quot;△&quot;#,##0.000000"/>
    <numFmt numFmtId="211" formatCode="#,##0.0000000;[Red]&quot;△&quot;#,##0.0000000"/>
    <numFmt numFmtId="212" formatCode="#,##0.00000000;[Red]&quot;△&quot;#,##0.00000000"/>
    <numFmt numFmtId="213" formatCode="_ * #,##0_ ;_ * \-#,##0_ ;_ * &quot;-&quot;_ ;_ @_ "/>
    <numFmt numFmtId="214" formatCode="_ * #,##0.00_ ;_ * \-#,##0.00_ ;_ * &quot;-&quot;??_ ;_ @_ "/>
  </numFmts>
  <fonts count="61">
    <font>
      <sz val="10"/>
      <name val="바탕"/>
      <family val="1"/>
    </font>
    <font>
      <sz val="8"/>
      <name val="바탕"/>
      <family val="1"/>
    </font>
    <font>
      <sz val="11"/>
      <name val="바탕"/>
      <family val="1"/>
    </font>
    <font>
      <sz val="11"/>
      <name val="굴림"/>
      <family val="3"/>
    </font>
    <font>
      <b/>
      <sz val="20"/>
      <name val="굴림"/>
      <family val="3"/>
    </font>
    <font>
      <u val="single"/>
      <sz val="10"/>
      <color indexed="12"/>
      <name val="바탕"/>
      <family val="1"/>
    </font>
    <font>
      <u val="single"/>
      <sz val="10"/>
      <color indexed="36"/>
      <name val="바탕"/>
      <family val="1"/>
    </font>
    <font>
      <sz val="8"/>
      <name val="돋움"/>
      <family val="3"/>
    </font>
    <font>
      <sz val="20"/>
      <name val="HY견명조"/>
      <family val="1"/>
    </font>
    <font>
      <b/>
      <sz val="10"/>
      <name val="바탕"/>
      <family val="1"/>
    </font>
    <font>
      <sz val="11"/>
      <name val="돋움"/>
      <family val="3"/>
    </font>
    <font>
      <sz val="12"/>
      <name val="바탕체"/>
      <family val="1"/>
    </font>
    <font>
      <b/>
      <sz val="18"/>
      <name val="굴림"/>
      <family val="3"/>
    </font>
    <font>
      <b/>
      <u val="single"/>
      <sz val="16"/>
      <name val="굴림"/>
      <family val="3"/>
    </font>
    <font>
      <b/>
      <sz val="16"/>
      <name val="굴림"/>
      <family val="3"/>
    </font>
    <font>
      <sz val="11"/>
      <name val="HY그래픽M"/>
      <family val="1"/>
    </font>
    <font>
      <b/>
      <sz val="22"/>
      <name val="굴림"/>
      <family val="3"/>
    </font>
    <font>
      <b/>
      <sz val="24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18"/>
      <name val="HY견명조"/>
      <family val="1"/>
    </font>
    <font>
      <sz val="1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바탕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91" fontId="0" fillId="0" borderId="0" xfId="65" applyNumberFormat="1" applyFont="1" applyAlignment="1">
      <alignment horizontal="center" vertical="center"/>
      <protection/>
    </xf>
    <xf numFmtId="191" fontId="2" fillId="0" borderId="10" xfId="65" applyNumberFormat="1" applyFont="1" applyBorder="1" applyAlignment="1">
      <alignment vertical="center"/>
      <protection/>
    </xf>
    <xf numFmtId="191" fontId="2" fillId="0" borderId="10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Alignment="1">
      <alignment vertical="center"/>
      <protection/>
    </xf>
    <xf numFmtId="191" fontId="9" fillId="0" borderId="0" xfId="65" applyNumberFormat="1" applyFont="1" applyAlignment="1">
      <alignment horizontal="left" vertical="center"/>
      <protection/>
    </xf>
    <xf numFmtId="191" fontId="9" fillId="0" borderId="0" xfId="65" applyNumberFormat="1" applyFont="1" applyAlignment="1">
      <alignment horizontal="center" vertical="center"/>
      <protection/>
    </xf>
    <xf numFmtId="191" fontId="9" fillId="0" borderId="0" xfId="65" applyNumberFormat="1" applyFont="1" applyAlignment="1">
      <alignment horizontal="center" vertical="center" shrinkToFit="1"/>
      <protection/>
    </xf>
    <xf numFmtId="191" fontId="0" fillId="0" borderId="0" xfId="65" applyNumberFormat="1" applyFont="1" applyAlignment="1">
      <alignment horizontal="right" shrinkToFit="1"/>
      <protection/>
    </xf>
    <xf numFmtId="191" fontId="0" fillId="0" borderId="11" xfId="65" applyNumberFormat="1" applyFont="1" applyBorder="1" applyAlignment="1">
      <alignment horizontal="center" vertical="center"/>
      <protection/>
    </xf>
    <xf numFmtId="191" fontId="0" fillId="0" borderId="12" xfId="65" applyNumberFormat="1" applyFont="1" applyBorder="1" applyAlignment="1">
      <alignment horizontal="center" vertical="center"/>
      <protection/>
    </xf>
    <xf numFmtId="191" fontId="0" fillId="0" borderId="13" xfId="65" applyNumberFormat="1" applyFont="1" applyBorder="1" applyAlignment="1">
      <alignment vertical="center"/>
      <protection/>
    </xf>
    <xf numFmtId="191" fontId="0" fillId="0" borderId="14" xfId="65" applyNumberFormat="1" applyFont="1" applyBorder="1" applyAlignment="1">
      <alignment vertical="center"/>
      <protection/>
    </xf>
    <xf numFmtId="191" fontId="0" fillId="0" borderId="15" xfId="65" applyNumberFormat="1" applyFont="1" applyBorder="1" applyAlignment="1">
      <alignment vertical="center"/>
      <protection/>
    </xf>
    <xf numFmtId="191" fontId="0" fillId="0" borderId="16" xfId="65" applyNumberFormat="1" applyFont="1" applyBorder="1" applyAlignment="1">
      <alignment vertical="center"/>
      <protection/>
    </xf>
    <xf numFmtId="191" fontId="0" fillId="0" borderId="16" xfId="65" applyNumberFormat="1" applyFont="1" applyBorder="1" applyAlignment="1">
      <alignment vertical="center" wrapText="1"/>
      <protection/>
    </xf>
    <xf numFmtId="191" fontId="0" fillId="0" borderId="17" xfId="65" applyNumberFormat="1" applyFont="1" applyBorder="1" applyAlignment="1">
      <alignment vertical="center"/>
      <protection/>
    </xf>
    <xf numFmtId="191" fontId="0" fillId="0" borderId="18" xfId="65" applyNumberFormat="1" applyFont="1" applyBorder="1" applyAlignment="1">
      <alignment vertical="center"/>
      <protection/>
    </xf>
    <xf numFmtId="191" fontId="0" fillId="0" borderId="19" xfId="65" applyNumberFormat="1" applyFont="1" applyBorder="1" applyAlignment="1">
      <alignment vertical="center" shrinkToFit="1"/>
      <protection/>
    </xf>
    <xf numFmtId="191" fontId="0" fillId="0" borderId="20" xfId="65" applyNumberFormat="1" applyFont="1" applyBorder="1" applyAlignment="1">
      <alignment vertical="center"/>
      <protection/>
    </xf>
    <xf numFmtId="191" fontId="0" fillId="0" borderId="20" xfId="65" applyNumberFormat="1" applyFont="1" applyBorder="1" applyAlignment="1">
      <alignment vertical="center" wrapText="1"/>
      <protection/>
    </xf>
    <xf numFmtId="191" fontId="0" fillId="0" borderId="21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 quotePrefix="1">
      <alignment vertical="center"/>
      <protection/>
    </xf>
    <xf numFmtId="191" fontId="0" fillId="0" borderId="22" xfId="65" applyNumberFormat="1" applyFont="1" applyBorder="1" applyAlignment="1">
      <alignment vertical="center" shrinkToFit="1"/>
      <protection/>
    </xf>
    <xf numFmtId="191" fontId="0" fillId="0" borderId="23" xfId="65" applyNumberFormat="1" applyFont="1" applyBorder="1" applyAlignment="1">
      <alignment vertical="center"/>
      <protection/>
    </xf>
    <xf numFmtId="191" fontId="0" fillId="0" borderId="24" xfId="65" applyNumberFormat="1" applyFont="1" applyBorder="1" applyAlignment="1">
      <alignment vertical="center"/>
      <protection/>
    </xf>
    <xf numFmtId="191" fontId="0" fillId="0" borderId="25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vertical="center" shrinkToFit="1"/>
      <protection/>
    </xf>
    <xf numFmtId="191" fontId="9" fillId="0" borderId="0" xfId="65" applyNumberFormat="1" applyFont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vertical="center"/>
      <protection/>
    </xf>
    <xf numFmtId="191" fontId="0" fillId="0" borderId="18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left" vertical="center"/>
      <protection/>
    </xf>
    <xf numFmtId="191" fontId="0" fillId="0" borderId="0" xfId="65" applyNumberFormat="1" applyFont="1" applyAlignment="1">
      <alignment horizontal="right" vertical="center"/>
      <protection/>
    </xf>
    <xf numFmtId="194" fontId="2" fillId="0" borderId="10" xfId="65" applyNumberFormat="1" applyFont="1" applyBorder="1" applyAlignment="1">
      <alignment vertical="center"/>
      <protection/>
    </xf>
    <xf numFmtId="191" fontId="2" fillId="0" borderId="10" xfId="65" applyNumberFormat="1" applyFont="1" applyBorder="1" applyAlignment="1">
      <alignment vertical="center" wrapText="1"/>
      <protection/>
    </xf>
    <xf numFmtId="191" fontId="0" fillId="0" borderId="26" xfId="65" applyNumberFormat="1" applyFont="1" applyBorder="1" applyAlignment="1">
      <alignment vertical="center"/>
      <protection/>
    </xf>
    <xf numFmtId="191" fontId="0" fillId="0" borderId="27" xfId="65" applyNumberFormat="1" applyFont="1" applyBorder="1" applyAlignment="1">
      <alignment vertical="center"/>
      <protection/>
    </xf>
    <xf numFmtId="191" fontId="9" fillId="0" borderId="22" xfId="65" applyNumberFormat="1" applyFont="1" applyBorder="1" applyAlignment="1">
      <alignment vertical="center" shrinkToFit="1"/>
      <protection/>
    </xf>
    <xf numFmtId="191" fontId="0" fillId="0" borderId="28" xfId="65" applyNumberFormat="1" applyFont="1" applyBorder="1" applyAlignment="1">
      <alignment horizontal="center" vertical="center"/>
      <protection/>
    </xf>
    <xf numFmtId="191" fontId="0" fillId="0" borderId="17" xfId="65" applyNumberFormat="1" applyFont="1" applyBorder="1" applyAlignment="1">
      <alignment vertical="center" wrapText="1"/>
      <protection/>
    </xf>
    <xf numFmtId="191" fontId="0" fillId="0" borderId="21" xfId="65" applyNumberFormat="1" applyFont="1" applyBorder="1" applyAlignment="1">
      <alignment vertical="center" wrapText="1"/>
      <protection/>
    </xf>
    <xf numFmtId="191" fontId="0" fillId="0" borderId="18" xfId="65" applyNumberFormat="1" applyFont="1" applyBorder="1" applyAlignment="1">
      <alignment vertical="center" shrinkToFit="1"/>
      <protection/>
    </xf>
    <xf numFmtId="191" fontId="0" fillId="0" borderId="0" xfId="65" applyNumberFormat="1" applyFont="1" applyBorder="1" applyAlignment="1">
      <alignment vertical="center" shrinkToFit="1"/>
      <protection/>
    </xf>
    <xf numFmtId="191" fontId="9" fillId="0" borderId="0" xfId="65" applyNumberFormat="1" applyFont="1" applyBorder="1" applyAlignment="1">
      <alignment vertical="center" shrinkToFit="1"/>
      <protection/>
    </xf>
    <xf numFmtId="191" fontId="0" fillId="0" borderId="29" xfId="65" applyNumberFormat="1" applyFont="1" applyBorder="1" applyAlignment="1">
      <alignment vertical="center"/>
      <protection/>
    </xf>
    <xf numFmtId="191" fontId="0" fillId="0" borderId="30" xfId="65" applyNumberFormat="1" applyFont="1" applyBorder="1" applyAlignment="1">
      <alignment vertical="center"/>
      <protection/>
    </xf>
    <xf numFmtId="191" fontId="0" fillId="0" borderId="31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horizontal="left" vertical="center"/>
      <protection/>
    </xf>
    <xf numFmtId="0" fontId="0" fillId="0" borderId="0" xfId="65" applyFont="1" applyBorder="1" applyAlignment="1">
      <alignment horizontal="left" vertical="center"/>
      <protection/>
    </xf>
    <xf numFmtId="191" fontId="0" fillId="0" borderId="21" xfId="65" applyNumberFormat="1" applyFont="1" applyBorder="1" applyAlignment="1" quotePrefix="1">
      <alignment horizontal="left" vertical="center" indent="1"/>
      <protection/>
    </xf>
    <xf numFmtId="191" fontId="0" fillId="0" borderId="21" xfId="65" applyNumberFormat="1" applyFont="1" applyBorder="1" applyAlignment="1">
      <alignment horizontal="right" vertical="center"/>
      <protection/>
    </xf>
    <xf numFmtId="191" fontId="0" fillId="0" borderId="0" xfId="65" applyNumberFormat="1" applyFont="1" applyBorder="1" applyAlignment="1" quotePrefix="1">
      <alignment vertical="center"/>
      <protection/>
    </xf>
    <xf numFmtId="191" fontId="0" fillId="0" borderId="32" xfId="65" applyNumberFormat="1" applyFont="1" applyBorder="1" applyAlignment="1">
      <alignment vertical="center"/>
      <protection/>
    </xf>
    <xf numFmtId="191" fontId="0" fillId="0" borderId="21" xfId="65" applyNumberFormat="1" applyFont="1" applyBorder="1" applyAlignment="1">
      <alignment horizontal="center" vertical="center"/>
      <protection/>
    </xf>
    <xf numFmtId="191" fontId="9" fillId="0" borderId="33" xfId="65" applyNumberFormat="1" applyFont="1" applyBorder="1" applyAlignment="1">
      <alignment horizontal="center" vertical="center"/>
      <protection/>
    </xf>
    <xf numFmtId="191" fontId="9" fillId="0" borderId="34" xfId="65" applyNumberFormat="1" applyFont="1" applyBorder="1" applyAlignment="1">
      <alignment vertical="center" shrinkToFit="1"/>
      <protection/>
    </xf>
    <xf numFmtId="191" fontId="0" fillId="33" borderId="0" xfId="65" applyNumberFormat="1" applyFont="1" applyFill="1" applyAlignment="1">
      <alignment horizontal="center" vertical="center" shrinkToFit="1"/>
      <protection/>
    </xf>
    <xf numFmtId="191" fontId="0" fillId="33" borderId="0" xfId="65" applyNumberFormat="1" applyFont="1" applyFill="1" applyAlignment="1">
      <alignment horizontal="right" shrinkToFit="1"/>
      <protection/>
    </xf>
    <xf numFmtId="191" fontId="0" fillId="33" borderId="19" xfId="65" applyNumberFormat="1" applyFont="1" applyFill="1" applyBorder="1" applyAlignment="1">
      <alignment vertical="center" shrinkToFit="1"/>
      <protection/>
    </xf>
    <xf numFmtId="191" fontId="9" fillId="33" borderId="22" xfId="65" applyNumberFormat="1" applyFont="1" applyFill="1" applyBorder="1" applyAlignment="1">
      <alignment vertical="center" shrinkToFit="1"/>
      <protection/>
    </xf>
    <xf numFmtId="3" fontId="0" fillId="33" borderId="22" xfId="65" applyNumberFormat="1" applyFont="1" applyFill="1" applyBorder="1" applyAlignment="1">
      <alignment vertical="center"/>
      <protection/>
    </xf>
    <xf numFmtId="191" fontId="0" fillId="33" borderId="0" xfId="65" applyNumberFormat="1" applyFont="1" applyFill="1" applyAlignment="1">
      <alignment vertical="center" shrinkToFit="1"/>
      <protection/>
    </xf>
    <xf numFmtId="191" fontId="9" fillId="0" borderId="28" xfId="65" applyNumberFormat="1" applyFont="1" applyBorder="1" applyAlignment="1">
      <alignment horizontal="center" vertical="center"/>
      <protection/>
    </xf>
    <xf numFmtId="191" fontId="9" fillId="0" borderId="35" xfId="65" applyNumberFormat="1" applyFont="1" applyBorder="1" applyAlignment="1">
      <alignment vertical="center" shrinkToFit="1"/>
      <protection/>
    </xf>
    <xf numFmtId="191" fontId="0" fillId="0" borderId="22" xfId="65" applyNumberFormat="1" applyFont="1" applyFill="1" applyBorder="1" applyAlignment="1">
      <alignment vertical="center" shrinkToFit="1"/>
      <protection/>
    </xf>
    <xf numFmtId="191" fontId="0" fillId="0" borderId="36" xfId="65" applyNumberFormat="1" applyFont="1" applyBorder="1" applyAlignment="1">
      <alignment horizontal="left" vertical="center"/>
      <protection/>
    </xf>
    <xf numFmtId="191" fontId="0" fillId="0" borderId="37" xfId="65" applyNumberFormat="1" applyFont="1" applyBorder="1" applyAlignment="1">
      <alignment vertical="center"/>
      <protection/>
    </xf>
    <xf numFmtId="191" fontId="0" fillId="0" borderId="38" xfId="65" applyNumberFormat="1" applyFont="1" applyBorder="1" applyAlignment="1">
      <alignment vertical="center"/>
      <protection/>
    </xf>
    <xf numFmtId="191" fontId="0" fillId="0" borderId="39" xfId="65" applyNumberFormat="1" applyFont="1" applyBorder="1" applyAlignment="1">
      <alignment vertical="center"/>
      <protection/>
    </xf>
    <xf numFmtId="0" fontId="3" fillId="0" borderId="0" xfId="66" applyFont="1">
      <alignment vertical="center"/>
      <protection/>
    </xf>
    <xf numFmtId="0" fontId="12" fillId="0" borderId="0" xfId="66" applyFont="1" applyAlignment="1">
      <alignment horizontal="left"/>
      <protection/>
    </xf>
    <xf numFmtId="0" fontId="13" fillId="0" borderId="0" xfId="66" applyFont="1" applyAlignment="1">
      <alignment horizontal="left"/>
      <protection/>
    </xf>
    <xf numFmtId="0" fontId="14" fillId="0" borderId="0" xfId="66" applyFont="1" applyAlignment="1">
      <alignment horizontal="left"/>
      <protection/>
    </xf>
    <xf numFmtId="0" fontId="3" fillId="0" borderId="0" xfId="66" applyFont="1" applyAlignment="1">
      <alignment horizontal="right" vertical="center"/>
      <protection/>
    </xf>
    <xf numFmtId="0" fontId="4" fillId="0" borderId="0" xfId="66" applyFont="1" applyAlignment="1">
      <alignment horizontal="centerContinuous" vertical="center"/>
      <protection/>
    </xf>
    <xf numFmtId="0" fontId="15" fillId="0" borderId="0" xfId="66" applyFont="1">
      <alignment vertical="center"/>
      <protection/>
    </xf>
    <xf numFmtId="0" fontId="16" fillId="0" borderId="0" xfId="66" applyFont="1" applyAlignment="1">
      <alignment horizontal="center"/>
      <protection/>
    </xf>
    <xf numFmtId="0" fontId="17" fillId="0" borderId="0" xfId="66" applyFont="1">
      <alignment vertical="center"/>
      <protection/>
    </xf>
    <xf numFmtId="0" fontId="18" fillId="0" borderId="0" xfId="66" applyFont="1">
      <alignment vertical="center"/>
      <protection/>
    </xf>
    <xf numFmtId="191" fontId="0" fillId="0" borderId="15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Border="1" applyAlignment="1">
      <alignment horizontal="center" vertical="center"/>
      <protection/>
    </xf>
    <xf numFmtId="191" fontId="9" fillId="0" borderId="17" xfId="65" applyNumberFormat="1" applyFont="1" applyBorder="1" applyAlignment="1">
      <alignment horizontal="center" vertical="center"/>
      <protection/>
    </xf>
    <xf numFmtId="191" fontId="9" fillId="0" borderId="19" xfId="65" applyNumberFormat="1" applyFont="1" applyBorder="1" applyAlignment="1">
      <alignment vertical="center" shrinkToFit="1"/>
      <protection/>
    </xf>
    <xf numFmtId="191" fontId="0" fillId="0" borderId="40" xfId="65" applyNumberFormat="1" applyFont="1" applyBorder="1" applyAlignment="1">
      <alignment horizontal="center" vertical="center"/>
      <protection/>
    </xf>
    <xf numFmtId="191" fontId="0" fillId="0" borderId="16" xfId="65" applyNumberFormat="1" applyFont="1" applyBorder="1" applyAlignment="1">
      <alignment vertical="center"/>
      <protection/>
    </xf>
    <xf numFmtId="3" fontId="0" fillId="0" borderId="18" xfId="65" applyNumberFormat="1" applyFont="1" applyBorder="1" applyAlignment="1">
      <alignment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0" borderId="18" xfId="65" applyFont="1" applyBorder="1" applyAlignment="1">
      <alignment horizontal="left" vertical="center"/>
      <protection/>
    </xf>
    <xf numFmtId="0" fontId="0" fillId="0" borderId="18" xfId="65" applyFont="1" applyBorder="1" applyAlignment="1">
      <alignment vertical="center"/>
      <protection/>
    </xf>
    <xf numFmtId="3" fontId="0" fillId="33" borderId="19" xfId="65" applyNumberFormat="1" applyFont="1" applyFill="1" applyBorder="1" applyAlignment="1">
      <alignment vertical="center"/>
      <protection/>
    </xf>
    <xf numFmtId="191" fontId="0" fillId="0" borderId="21" xfId="65" applyNumberFormat="1" applyFont="1" applyBorder="1" applyAlignment="1">
      <alignment vertical="center"/>
      <protection/>
    </xf>
    <xf numFmtId="0" fontId="14" fillId="0" borderId="0" xfId="66" applyFont="1">
      <alignment vertical="center"/>
      <protection/>
    </xf>
    <xf numFmtId="191" fontId="0" fillId="0" borderId="38" xfId="65" applyNumberFormat="1" applyFont="1" applyBorder="1" applyAlignment="1">
      <alignment vertical="center"/>
      <protection/>
    </xf>
    <xf numFmtId="191" fontId="2" fillId="0" borderId="10" xfId="65" applyNumberFormat="1" applyFont="1" applyBorder="1" applyAlignment="1">
      <alignment horizontal="right" vertical="center"/>
      <protection/>
    </xf>
    <xf numFmtId="191" fontId="9" fillId="33" borderId="34" xfId="65" applyNumberFormat="1" applyFont="1" applyFill="1" applyBorder="1" applyAlignment="1">
      <alignment vertical="center" shrinkToFit="1"/>
      <protection/>
    </xf>
    <xf numFmtId="191" fontId="2" fillId="0" borderId="36" xfId="65" applyNumberFormat="1" applyFont="1" applyBorder="1" applyAlignment="1">
      <alignment vertical="center"/>
      <protection/>
    </xf>
    <xf numFmtId="0" fontId="19" fillId="0" borderId="0" xfId="66" applyFont="1">
      <alignment vertical="center"/>
      <protection/>
    </xf>
    <xf numFmtId="42" fontId="19" fillId="0" borderId="0" xfId="64" applyFont="1" applyAlignment="1">
      <alignment vertical="center"/>
    </xf>
    <xf numFmtId="191" fontId="0" fillId="0" borderId="20" xfId="65" applyNumberFormat="1" applyFont="1" applyBorder="1" applyAlignment="1">
      <alignment horizontal="center" vertical="center"/>
      <protection/>
    </xf>
    <xf numFmtId="191" fontId="9" fillId="0" borderId="0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>
      <alignment vertical="center"/>
      <protection/>
    </xf>
    <xf numFmtId="191" fontId="0" fillId="0" borderId="0" xfId="65" applyNumberFormat="1" applyFont="1" applyFill="1" applyBorder="1" applyAlignment="1">
      <alignment horizontal="left" vertical="center"/>
      <protection/>
    </xf>
    <xf numFmtId="191" fontId="9" fillId="0" borderId="22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>
      <alignment horizontal="left" vertical="center" shrinkToFit="1"/>
      <protection/>
    </xf>
    <xf numFmtId="191" fontId="0" fillId="0" borderId="0" xfId="65" applyNumberFormat="1" applyFont="1" applyFill="1" applyBorder="1" applyAlignment="1" quotePrefix="1">
      <alignment vertical="center"/>
      <protection/>
    </xf>
    <xf numFmtId="191" fontId="0" fillId="0" borderId="0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Fill="1" applyBorder="1" applyAlignment="1" quotePrefix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191" fontId="0" fillId="0" borderId="18" xfId="65" applyNumberFormat="1" applyFont="1" applyFill="1" applyBorder="1" applyAlignment="1">
      <alignment vertical="center" shrinkToFit="1"/>
      <protection/>
    </xf>
    <xf numFmtId="191" fontId="0" fillId="0" borderId="18" xfId="65" applyNumberFormat="1" applyFont="1" applyFill="1" applyBorder="1" applyAlignment="1">
      <alignment vertical="center"/>
      <protection/>
    </xf>
    <xf numFmtId="191" fontId="0" fillId="0" borderId="18" xfId="65" applyNumberFormat="1" applyFont="1" applyFill="1" applyBorder="1" applyAlignment="1">
      <alignment horizontal="left" vertical="center"/>
      <protection/>
    </xf>
    <xf numFmtId="191" fontId="0" fillId="0" borderId="19" xfId="65" applyNumberFormat="1" applyFont="1" applyFill="1" applyBorder="1" applyAlignment="1">
      <alignment vertical="center" shrinkToFit="1"/>
      <protection/>
    </xf>
    <xf numFmtId="3" fontId="0" fillId="0" borderId="0" xfId="65" applyNumberFormat="1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191" fontId="0" fillId="0" borderId="0" xfId="65" applyNumberFormat="1" applyFont="1" applyFill="1" applyAlignment="1">
      <alignment vertical="center" shrinkToFit="1"/>
      <protection/>
    </xf>
    <xf numFmtId="191" fontId="0" fillId="0" borderId="0" xfId="65" applyNumberFormat="1" applyFont="1" applyFill="1" applyAlignment="1">
      <alignment vertical="center"/>
      <protection/>
    </xf>
    <xf numFmtId="191" fontId="0" fillId="0" borderId="0" xfId="65" applyNumberFormat="1" applyFont="1" applyFill="1" applyAlignment="1">
      <alignment horizontal="left" vertical="center"/>
      <protection/>
    </xf>
    <xf numFmtId="191" fontId="0" fillId="0" borderId="23" xfId="65" applyNumberFormat="1" applyFont="1" applyBorder="1" applyAlignment="1">
      <alignment vertical="center" wrapText="1"/>
      <protection/>
    </xf>
    <xf numFmtId="191" fontId="0" fillId="0" borderId="25" xfId="65" applyNumberFormat="1" applyFont="1" applyBorder="1" applyAlignment="1">
      <alignment horizontal="center" vertical="center"/>
      <protection/>
    </xf>
    <xf numFmtId="191" fontId="0" fillId="0" borderId="41" xfId="65" applyNumberFormat="1" applyFont="1" applyBorder="1" applyAlignment="1">
      <alignment vertical="center"/>
      <protection/>
    </xf>
    <xf numFmtId="191" fontId="0" fillId="0" borderId="19" xfId="65" applyNumberFormat="1" applyFont="1" applyBorder="1" applyAlignment="1">
      <alignment vertical="center"/>
      <protection/>
    </xf>
    <xf numFmtId="191" fontId="0" fillId="34" borderId="42" xfId="65" applyNumberFormat="1" applyFont="1" applyFill="1" applyBorder="1" applyAlignment="1">
      <alignment vertical="center"/>
      <protection/>
    </xf>
    <xf numFmtId="191" fontId="0" fillId="34" borderId="43" xfId="65" applyNumberFormat="1" applyFont="1" applyFill="1" applyBorder="1" applyAlignment="1">
      <alignment vertical="center"/>
      <protection/>
    </xf>
    <xf numFmtId="191" fontId="0" fillId="34" borderId="44" xfId="65" applyNumberFormat="1" applyFont="1" applyFill="1" applyBorder="1" applyAlignment="1">
      <alignment vertical="center"/>
      <protection/>
    </xf>
    <xf numFmtId="191" fontId="0" fillId="34" borderId="45" xfId="65" applyNumberFormat="1" applyFont="1" applyFill="1" applyBorder="1" applyAlignment="1">
      <alignment vertical="center" shrinkToFit="1"/>
      <protection/>
    </xf>
    <xf numFmtId="191" fontId="0" fillId="35" borderId="46" xfId="65" applyNumberFormat="1" applyFont="1" applyFill="1" applyBorder="1" applyAlignment="1">
      <alignment vertical="center"/>
      <protection/>
    </xf>
    <xf numFmtId="191" fontId="0" fillId="35" borderId="33" xfId="65" applyNumberFormat="1" applyFont="1" applyFill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vertical="center"/>
      <protection/>
    </xf>
    <xf numFmtId="191" fontId="0" fillId="35" borderId="34" xfId="65" applyNumberFormat="1" applyFont="1" applyFill="1" applyBorder="1" applyAlignment="1">
      <alignment vertical="center" shrinkToFit="1"/>
      <protection/>
    </xf>
    <xf numFmtId="191" fontId="0" fillId="0" borderId="16" xfId="65" applyNumberFormat="1" applyFont="1" applyBorder="1" applyAlignment="1">
      <alignment horizontal="left" vertical="center"/>
      <protection/>
    </xf>
    <xf numFmtId="191" fontId="0" fillId="0" borderId="20" xfId="65" applyNumberFormat="1" applyFont="1" applyBorder="1" applyAlignment="1">
      <alignment horizontal="left" vertical="center"/>
      <protection/>
    </xf>
    <xf numFmtId="191" fontId="0" fillId="0" borderId="30" xfId="65" applyNumberFormat="1" applyFont="1" applyBorder="1" applyAlignment="1">
      <alignment vertical="center"/>
      <protection/>
    </xf>
    <xf numFmtId="191" fontId="0" fillId="0" borderId="47" xfId="65" applyNumberFormat="1" applyFont="1" applyBorder="1" applyAlignment="1">
      <alignment vertical="center" shrinkToFit="1"/>
      <protection/>
    </xf>
    <xf numFmtId="191" fontId="0" fillId="0" borderId="48" xfId="65" applyNumberFormat="1" applyFont="1" applyBorder="1" applyAlignment="1">
      <alignment horizontal="left"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 applyAlignment="1">
      <alignment horizontal="right" vertical="center"/>
      <protection/>
    </xf>
    <xf numFmtId="191" fontId="9" fillId="0" borderId="34" xfId="65" applyNumberFormat="1" applyFont="1" applyFill="1" applyBorder="1" applyAlignment="1">
      <alignment vertical="center" shrinkToFit="1"/>
      <protection/>
    </xf>
    <xf numFmtId="3" fontId="9" fillId="33" borderId="34" xfId="65" applyNumberFormat="1" applyFont="1" applyFill="1" applyBorder="1" applyAlignment="1">
      <alignment vertical="center"/>
      <protection/>
    </xf>
    <xf numFmtId="191" fontId="0" fillId="34" borderId="49" xfId="65" applyNumberFormat="1" applyFont="1" applyFill="1" applyBorder="1" applyAlignment="1">
      <alignment vertical="center"/>
      <protection/>
    </xf>
    <xf numFmtId="191" fontId="0" fillId="34" borderId="50" xfId="65" applyNumberFormat="1" applyFont="1" applyFill="1" applyBorder="1" applyAlignment="1">
      <alignment vertical="center"/>
      <protection/>
    </xf>
    <xf numFmtId="191" fontId="0" fillId="34" borderId="51" xfId="65" applyNumberFormat="1" applyFont="1" applyFill="1" applyBorder="1" applyAlignment="1">
      <alignment vertical="center"/>
      <protection/>
    </xf>
    <xf numFmtId="191" fontId="0" fillId="35" borderId="52" xfId="65" applyNumberFormat="1" applyFont="1" applyFill="1" applyBorder="1" applyAlignment="1">
      <alignment vertical="center"/>
      <protection/>
    </xf>
    <xf numFmtId="191" fontId="0" fillId="35" borderId="13" xfId="65" applyNumberFormat="1" applyFont="1" applyFill="1" applyBorder="1" applyAlignment="1">
      <alignment vertical="center"/>
      <protection/>
    </xf>
    <xf numFmtId="191" fontId="0" fillId="35" borderId="18" xfId="65" applyNumberFormat="1" applyFont="1" applyFill="1" applyBorder="1" applyAlignment="1">
      <alignment vertical="center" shrinkToFit="1"/>
      <protection/>
    </xf>
    <xf numFmtId="3" fontId="0" fillId="35" borderId="18" xfId="65" applyNumberFormat="1" applyFont="1" applyFill="1" applyBorder="1" applyAlignment="1">
      <alignment vertical="center"/>
      <protection/>
    </xf>
    <xf numFmtId="0" fontId="0" fillId="35" borderId="18" xfId="65" applyFont="1" applyFill="1" applyBorder="1" applyAlignment="1">
      <alignment horizontal="center" vertical="center"/>
      <protection/>
    </xf>
    <xf numFmtId="0" fontId="0" fillId="35" borderId="18" xfId="65" applyFont="1" applyFill="1" applyBorder="1" applyAlignment="1">
      <alignment horizontal="left" vertical="center"/>
      <protection/>
    </xf>
    <xf numFmtId="0" fontId="0" fillId="35" borderId="18" xfId="65" applyFont="1" applyFill="1" applyBorder="1" applyAlignment="1">
      <alignment vertical="center"/>
      <protection/>
    </xf>
    <xf numFmtId="191" fontId="0" fillId="35" borderId="18" xfId="65" applyNumberFormat="1" applyFont="1" applyFill="1" applyBorder="1" applyAlignment="1">
      <alignment vertical="center"/>
      <protection/>
    </xf>
    <xf numFmtId="3" fontId="0" fillId="35" borderId="19" xfId="65" applyNumberFormat="1" applyFont="1" applyFill="1" applyBorder="1" applyAlignment="1">
      <alignment vertical="center"/>
      <protection/>
    </xf>
    <xf numFmtId="191" fontId="0" fillId="35" borderId="53" xfId="65" applyNumberFormat="1" applyFont="1" applyFill="1" applyBorder="1" applyAlignment="1">
      <alignment vertical="center"/>
      <protection/>
    </xf>
    <xf numFmtId="191" fontId="0" fillId="35" borderId="54" xfId="65" applyNumberFormat="1" applyFont="1" applyFill="1" applyBorder="1" applyAlignment="1">
      <alignment vertical="center"/>
      <protection/>
    </xf>
    <xf numFmtId="191" fontId="0" fillId="35" borderId="55" xfId="65" applyNumberFormat="1" applyFont="1" applyFill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vertical="center" shrinkToFit="1"/>
      <protection/>
    </xf>
    <xf numFmtId="191" fontId="0" fillId="0" borderId="36" xfId="65" applyNumberFormat="1" applyFont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horizontal="center" vertical="center"/>
      <protection/>
    </xf>
    <xf numFmtId="191" fontId="9" fillId="35" borderId="34" xfId="65" applyNumberFormat="1" applyFont="1" applyFill="1" applyBorder="1" applyAlignment="1">
      <alignment vertical="center" shrinkToFit="1"/>
      <protection/>
    </xf>
    <xf numFmtId="191" fontId="0" fillId="34" borderId="50" xfId="65" applyNumberFormat="1" applyFont="1" applyFill="1" applyBorder="1" applyAlignment="1">
      <alignment horizontal="left" vertical="center"/>
      <protection/>
    </xf>
    <xf numFmtId="191" fontId="0" fillId="34" borderId="56" xfId="65" applyNumberFormat="1" applyFont="1" applyFill="1" applyBorder="1" applyAlignment="1">
      <alignment vertical="center"/>
      <protection/>
    </xf>
    <xf numFmtId="191" fontId="0" fillId="34" borderId="57" xfId="65" applyNumberFormat="1" applyFont="1" applyFill="1" applyBorder="1" applyAlignment="1">
      <alignment vertical="center"/>
      <protection/>
    </xf>
    <xf numFmtId="191" fontId="0" fillId="34" borderId="50" xfId="65" applyNumberFormat="1" applyFont="1" applyFill="1" applyBorder="1" applyAlignment="1">
      <alignment vertical="center" shrinkToFit="1"/>
      <protection/>
    </xf>
    <xf numFmtId="191" fontId="0" fillId="34" borderId="51" xfId="65" applyNumberFormat="1" applyFont="1" applyFill="1" applyBorder="1" applyAlignment="1">
      <alignment vertical="center" shrinkToFit="1"/>
      <protection/>
    </xf>
    <xf numFmtId="191" fontId="0" fillId="35" borderId="44" xfId="65" applyNumberFormat="1" applyFont="1" applyFill="1" applyBorder="1" applyAlignment="1">
      <alignment horizontal="left" vertical="center"/>
      <protection/>
    </xf>
    <xf numFmtId="191" fontId="0" fillId="35" borderId="58" xfId="65" applyNumberFormat="1" applyFont="1" applyFill="1" applyBorder="1" applyAlignment="1">
      <alignment vertical="center"/>
      <protection/>
    </xf>
    <xf numFmtId="191" fontId="0" fillId="35" borderId="59" xfId="65" applyNumberFormat="1" applyFont="1" applyFill="1" applyBorder="1" applyAlignment="1">
      <alignment vertical="center"/>
      <protection/>
    </xf>
    <xf numFmtId="191" fontId="0" fillId="35" borderId="44" xfId="65" applyNumberFormat="1" applyFont="1" applyFill="1" applyBorder="1" applyAlignment="1">
      <alignment vertical="center" shrinkToFit="1"/>
      <protection/>
    </xf>
    <xf numFmtId="191" fontId="0" fillId="35" borderId="44" xfId="65" applyNumberFormat="1" applyFont="1" applyFill="1" applyBorder="1" applyAlignment="1">
      <alignment vertical="center"/>
      <protection/>
    </xf>
    <xf numFmtId="191" fontId="0" fillId="35" borderId="45" xfId="65" applyNumberFormat="1" applyFont="1" applyFill="1" applyBorder="1" applyAlignment="1">
      <alignment vertical="center" shrinkToFit="1"/>
      <protection/>
    </xf>
    <xf numFmtId="191" fontId="0" fillId="35" borderId="42" xfId="65" applyNumberFormat="1" applyFont="1" applyFill="1" applyBorder="1" applyAlignment="1">
      <alignment vertical="center"/>
      <protection/>
    </xf>
    <xf numFmtId="191" fontId="0" fillId="35" borderId="45" xfId="65" applyNumberFormat="1" applyFont="1" applyFill="1" applyBorder="1" applyAlignment="1">
      <alignment vertical="center"/>
      <protection/>
    </xf>
    <xf numFmtId="191" fontId="0" fillId="35" borderId="14" xfId="65" applyNumberFormat="1" applyFont="1" applyFill="1" applyBorder="1" applyAlignment="1">
      <alignment horizontal="left" vertical="center"/>
      <protection/>
    </xf>
    <xf numFmtId="191" fontId="0" fillId="34" borderId="60" xfId="65" applyNumberFormat="1" applyFont="1" applyFill="1" applyBorder="1" applyAlignment="1">
      <alignment vertical="center"/>
      <protection/>
    </xf>
    <xf numFmtId="191" fontId="9" fillId="36" borderId="60" xfId="65" applyNumberFormat="1" applyFont="1" applyFill="1" applyBorder="1" applyAlignment="1">
      <alignment vertical="center"/>
      <protection/>
    </xf>
    <xf numFmtId="191" fontId="0" fillId="36" borderId="61" xfId="65" applyNumberFormat="1" applyFont="1" applyFill="1" applyBorder="1" applyAlignment="1">
      <alignment vertical="center"/>
      <protection/>
    </xf>
    <xf numFmtId="191" fontId="0" fillId="36" borderId="50" xfId="65" applyNumberFormat="1" applyFont="1" applyFill="1" applyBorder="1" applyAlignment="1">
      <alignment vertical="center"/>
      <protection/>
    </xf>
    <xf numFmtId="191" fontId="0" fillId="36" borderId="51" xfId="65" applyNumberFormat="1" applyFont="1" applyFill="1" applyBorder="1" applyAlignment="1">
      <alignment vertical="center" shrinkToFit="1"/>
      <protection/>
    </xf>
    <xf numFmtId="191" fontId="9" fillId="36" borderId="50" xfId="65" applyNumberFormat="1" applyFont="1" applyFill="1" applyBorder="1" applyAlignment="1">
      <alignment vertical="center" shrinkToFit="1"/>
      <protection/>
    </xf>
    <xf numFmtId="191" fontId="0" fillId="36" borderId="50" xfId="65" applyNumberFormat="1" applyFont="1" applyFill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right" vertical="center"/>
      <protection/>
    </xf>
    <xf numFmtId="191" fontId="0" fillId="0" borderId="0" xfId="65" applyNumberFormat="1" applyFont="1" applyFill="1" applyBorder="1" applyAlignment="1">
      <alignment horizontal="left" vertical="center" indent="1" shrinkToFit="1"/>
      <protection/>
    </xf>
    <xf numFmtId="191" fontId="0" fillId="0" borderId="21" xfId="65" applyNumberFormat="1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191" fontId="0" fillId="0" borderId="0" xfId="65" applyNumberFormat="1" applyFont="1" applyFill="1" applyBorder="1" applyAlignment="1">
      <alignment horizontal="left" vertical="center"/>
      <protection/>
    </xf>
    <xf numFmtId="191" fontId="0" fillId="0" borderId="17" xfId="65" applyNumberFormat="1" applyFont="1" applyBorder="1" applyAlignment="1">
      <alignment vertical="center" wrapText="1"/>
      <protection/>
    </xf>
    <xf numFmtId="191" fontId="0" fillId="0" borderId="21" xfId="65" applyNumberFormat="1" applyFont="1" applyBorder="1" applyAlignment="1">
      <alignment horizontal="left" vertical="center"/>
      <protection/>
    </xf>
    <xf numFmtId="191" fontId="0" fillId="0" borderId="0" xfId="65" applyNumberFormat="1" applyFont="1" applyBorder="1" applyAlignment="1">
      <alignment horizontal="center" vertical="center"/>
      <protection/>
    </xf>
    <xf numFmtId="191" fontId="0" fillId="0" borderId="0" xfId="65" applyNumberFormat="1" applyFont="1" applyFill="1" applyBorder="1" applyAlignment="1">
      <alignment vertical="center"/>
      <protection/>
    </xf>
    <xf numFmtId="0" fontId="17" fillId="0" borderId="0" xfId="66" applyFont="1" applyAlignment="1">
      <alignment horizontal="centerContinuous" vertical="center"/>
      <protection/>
    </xf>
    <xf numFmtId="191" fontId="0" fillId="0" borderId="36" xfId="65" applyNumberFormat="1" applyFont="1" applyBorder="1" applyAlignment="1">
      <alignment horizontal="center" vertical="center"/>
      <protection/>
    </xf>
    <xf numFmtId="191" fontId="0" fillId="0" borderId="16" xfId="65" applyNumberFormat="1" applyFont="1" applyBorder="1" applyAlignment="1">
      <alignment vertical="center" wrapText="1"/>
      <protection/>
    </xf>
    <xf numFmtId="191" fontId="0" fillId="0" borderId="0" xfId="65" applyNumberFormat="1" applyFont="1" applyAlignment="1">
      <alignment horizontal="center" vertical="center"/>
      <protection/>
    </xf>
    <xf numFmtId="191" fontId="0" fillId="0" borderId="22" xfId="65" applyNumberFormat="1" applyFont="1" applyBorder="1" applyAlignment="1">
      <alignment vertical="center"/>
      <protection/>
    </xf>
    <xf numFmtId="191" fontId="0" fillId="0" borderId="0" xfId="65" applyNumberFormat="1" applyFont="1" applyBorder="1" applyAlignment="1">
      <alignment vertical="center"/>
      <protection/>
    </xf>
    <xf numFmtId="191" fontId="0" fillId="0" borderId="22" xfId="65" applyNumberFormat="1" applyFont="1" applyBorder="1" applyAlignment="1">
      <alignment vertical="center" shrinkToFit="1"/>
      <protection/>
    </xf>
    <xf numFmtId="191" fontId="0" fillId="35" borderId="62" xfId="65" applyNumberFormat="1" applyFont="1" applyFill="1" applyBorder="1" applyAlignment="1">
      <alignment vertical="center"/>
      <protection/>
    </xf>
    <xf numFmtId="191" fontId="0" fillId="35" borderId="47" xfId="65" applyNumberFormat="1" applyFont="1" applyFill="1" applyBorder="1" applyAlignment="1">
      <alignment vertical="center"/>
      <protection/>
    </xf>
    <xf numFmtId="191" fontId="9" fillId="0" borderId="18" xfId="65" applyNumberFormat="1" applyFont="1" applyBorder="1" applyAlignment="1">
      <alignment vertical="center" shrinkToFit="1"/>
      <protection/>
    </xf>
    <xf numFmtId="191" fontId="9" fillId="0" borderId="62" xfId="65" applyNumberFormat="1" applyFont="1" applyBorder="1" applyAlignment="1">
      <alignment vertical="center" shrinkToFit="1"/>
      <protection/>
    </xf>
    <xf numFmtId="191" fontId="0" fillId="33" borderId="22" xfId="65" applyNumberFormat="1" applyFont="1" applyFill="1" applyBorder="1" applyAlignment="1">
      <alignment vertical="center" shrinkToFit="1"/>
      <protection/>
    </xf>
    <xf numFmtId="191" fontId="0" fillId="35" borderId="63" xfId="65" applyNumberFormat="1" applyFont="1" applyFill="1" applyBorder="1" applyAlignment="1">
      <alignment vertical="center"/>
      <protection/>
    </xf>
    <xf numFmtId="0" fontId="0" fillId="0" borderId="0" xfId="65" applyFont="1" applyBorder="1" applyAlignment="1">
      <alignment horizontal="left" vertical="center"/>
      <protection/>
    </xf>
    <xf numFmtId="191" fontId="0" fillId="35" borderId="64" xfId="65" applyNumberFormat="1" applyFont="1" applyFill="1" applyBorder="1" applyAlignment="1">
      <alignment vertical="center"/>
      <protection/>
    </xf>
    <xf numFmtId="191" fontId="0" fillId="0" borderId="0" xfId="65" applyNumberFormat="1" applyFont="1" applyFill="1" applyBorder="1" applyAlignment="1">
      <alignment horizontal="left" vertical="center" shrinkToFit="1"/>
      <protection/>
    </xf>
    <xf numFmtId="191" fontId="9" fillId="0" borderId="0" xfId="65" applyNumberFormat="1" applyFont="1" applyFill="1" applyBorder="1" applyAlignment="1">
      <alignment vertical="center"/>
      <protection/>
    </xf>
    <xf numFmtId="191" fontId="9" fillId="0" borderId="0" xfId="65" applyNumberFormat="1" applyFont="1" applyFill="1" applyBorder="1" applyAlignment="1">
      <alignment horizontal="left" vertical="center"/>
      <protection/>
    </xf>
    <xf numFmtId="191" fontId="9" fillId="0" borderId="0" xfId="65" applyNumberFormat="1" applyFont="1" applyFill="1" applyBorder="1" applyAlignment="1" quotePrefix="1">
      <alignment vertical="center"/>
      <protection/>
    </xf>
    <xf numFmtId="191" fontId="9" fillId="0" borderId="21" xfId="65" applyNumberFormat="1" applyFont="1" applyBorder="1" applyAlignment="1">
      <alignment vertical="center"/>
      <protection/>
    </xf>
    <xf numFmtId="191" fontId="9" fillId="0" borderId="65" xfId="65" applyNumberFormat="1" applyFont="1" applyBorder="1" applyAlignment="1">
      <alignment vertical="center"/>
      <protection/>
    </xf>
    <xf numFmtId="191" fontId="9" fillId="0" borderId="32" xfId="65" applyNumberFormat="1" applyFont="1" applyBorder="1" applyAlignment="1">
      <alignment horizontal="center" vertical="center"/>
      <protection/>
    </xf>
    <xf numFmtId="191" fontId="0" fillId="0" borderId="32" xfId="65" applyNumberFormat="1" applyFont="1" applyBorder="1" applyAlignment="1">
      <alignment horizontal="center" vertical="center" shrinkToFit="1"/>
      <protection/>
    </xf>
    <xf numFmtId="191" fontId="9" fillId="33" borderId="35" xfId="65" applyNumberFormat="1" applyFont="1" applyFill="1" applyBorder="1" applyAlignment="1">
      <alignment vertical="center" shrinkToFit="1"/>
      <protection/>
    </xf>
    <xf numFmtId="191" fontId="0" fillId="0" borderId="0" xfId="65" applyNumberFormat="1" applyFont="1" applyBorder="1" applyAlignment="1">
      <alignment vertical="center" shrinkToFit="1"/>
      <protection/>
    </xf>
    <xf numFmtId="178" fontId="0" fillId="0" borderId="0" xfId="44" applyNumberFormat="1" applyFont="1" applyBorder="1" applyAlignment="1">
      <alignment vertical="center" shrinkToFit="1"/>
    </xf>
    <xf numFmtId="191" fontId="0" fillId="0" borderId="0" xfId="65" applyNumberFormat="1" applyFont="1" applyBorder="1" applyAlignment="1">
      <alignment horizontal="left" vertical="center" shrinkToFit="1"/>
      <protection/>
    </xf>
    <xf numFmtId="191" fontId="0" fillId="0" borderId="36" xfId="65" applyNumberFormat="1" applyFont="1" applyBorder="1" applyAlignment="1">
      <alignment vertical="center" shrinkToFit="1"/>
      <protection/>
    </xf>
    <xf numFmtId="196" fontId="0" fillId="0" borderId="0" xfId="65" applyNumberFormat="1" applyFont="1" applyBorder="1" applyAlignment="1">
      <alignment vertical="center" shrinkToFit="1"/>
      <protection/>
    </xf>
    <xf numFmtId="200" fontId="0" fillId="0" borderId="0" xfId="65" applyNumberFormat="1" applyFont="1" applyBorder="1" applyAlignment="1">
      <alignment vertical="center" shrinkToFit="1"/>
      <protection/>
    </xf>
    <xf numFmtId="0" fontId="0" fillId="0" borderId="0" xfId="65" applyFont="1" applyBorder="1" applyAlignment="1" applyProtection="1">
      <alignment horizontal="center" vertical="center"/>
      <protection locked="0"/>
    </xf>
    <xf numFmtId="191" fontId="0" fillId="0" borderId="0" xfId="65" applyNumberFormat="1" applyFont="1" applyBorder="1" applyAlignment="1" quotePrefix="1">
      <alignment horizontal="left" vertical="center" indent="1" shrinkToFit="1"/>
      <protection/>
    </xf>
    <xf numFmtId="41" fontId="0" fillId="0" borderId="0" xfId="49" applyFont="1" applyBorder="1" applyAlignment="1">
      <alignment vertical="center" shrinkToFit="1"/>
    </xf>
    <xf numFmtId="191" fontId="0" fillId="0" borderId="0" xfId="65" applyNumberFormat="1" applyFont="1" applyBorder="1" applyAlignment="1">
      <alignment horizontal="left" vertical="center" shrinkToFit="1"/>
      <protection/>
    </xf>
    <xf numFmtId="191" fontId="0" fillId="0" borderId="0" xfId="65" applyNumberFormat="1" applyFont="1" applyBorder="1" applyAlignment="1" quotePrefix="1">
      <alignment vertical="center" shrinkToFit="1"/>
      <protection/>
    </xf>
    <xf numFmtId="191" fontId="9" fillId="0" borderId="32" xfId="65" applyNumberFormat="1" applyFont="1" applyBorder="1" applyAlignment="1">
      <alignment horizontal="center" vertical="center" shrinkToFit="1"/>
      <protection/>
    </xf>
    <xf numFmtId="191" fontId="9" fillId="36" borderId="66" xfId="65" applyNumberFormat="1" applyFont="1" applyFill="1" applyBorder="1" applyAlignment="1">
      <alignment vertical="center" shrinkToFit="1"/>
      <protection/>
    </xf>
    <xf numFmtId="191" fontId="9" fillId="36" borderId="60" xfId="65" applyNumberFormat="1" applyFont="1" applyFill="1" applyBorder="1" applyAlignment="1">
      <alignment vertical="center" shrinkToFit="1"/>
      <protection/>
    </xf>
    <xf numFmtId="191" fontId="9" fillId="36" borderId="51" xfId="65" applyNumberFormat="1" applyFont="1" applyFill="1" applyBorder="1" applyAlignment="1">
      <alignment vertical="center" shrinkToFit="1"/>
      <protection/>
    </xf>
    <xf numFmtId="191" fontId="0" fillId="35" borderId="46" xfId="65" applyNumberFormat="1" applyFont="1" applyFill="1" applyBorder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191" fontId="0" fillId="0" borderId="31" xfId="65" applyNumberFormat="1" applyFont="1" applyBorder="1" applyAlignment="1">
      <alignment vertical="center"/>
      <protection/>
    </xf>
    <xf numFmtId="191" fontId="0" fillId="0" borderId="0" xfId="65" applyNumberFormat="1" applyFont="1" applyAlignment="1">
      <alignment vertical="center"/>
      <protection/>
    </xf>
    <xf numFmtId="191" fontId="0" fillId="0" borderId="22" xfId="65" applyNumberFormat="1" applyFont="1" applyFill="1" applyBorder="1" applyAlignment="1">
      <alignment vertical="center" shrinkToFit="1"/>
      <protection/>
    </xf>
    <xf numFmtId="191" fontId="10" fillId="0" borderId="0" xfId="65" applyNumberFormat="1" applyFont="1" applyAlignment="1">
      <alignment vertical="center"/>
      <protection/>
    </xf>
    <xf numFmtId="191" fontId="10" fillId="0" borderId="0" xfId="65" applyNumberFormat="1" applyFont="1" applyAlignment="1">
      <alignment horizontal="right" vertical="center"/>
      <protection/>
    </xf>
    <xf numFmtId="191" fontId="10" fillId="0" borderId="67" xfId="65" applyNumberFormat="1" applyFont="1" applyBorder="1" applyAlignment="1">
      <alignment horizontal="center" vertical="center"/>
      <protection/>
    </xf>
    <xf numFmtId="191" fontId="10" fillId="0" borderId="68" xfId="65" applyNumberFormat="1" applyFont="1" applyBorder="1" applyAlignment="1">
      <alignment horizontal="center" vertical="center"/>
      <protection/>
    </xf>
    <xf numFmtId="191" fontId="10" fillId="0" borderId="68" xfId="65" applyNumberFormat="1" applyFont="1" applyBorder="1" applyAlignment="1">
      <alignment horizontal="center" vertical="center" wrapText="1"/>
      <protection/>
    </xf>
    <xf numFmtId="191" fontId="10" fillId="0" borderId="69" xfId="65" applyNumberFormat="1" applyFont="1" applyBorder="1" applyAlignment="1">
      <alignment horizontal="center" vertical="center"/>
      <protection/>
    </xf>
    <xf numFmtId="191" fontId="10" fillId="0" borderId="70" xfId="65" applyNumberFormat="1" applyFont="1" applyBorder="1" applyAlignment="1">
      <alignment vertical="center"/>
      <protection/>
    </xf>
    <xf numFmtId="193" fontId="10" fillId="0" borderId="70" xfId="65" applyNumberFormat="1" applyFont="1" applyBorder="1" applyAlignment="1">
      <alignment vertical="center"/>
      <protection/>
    </xf>
    <xf numFmtId="191" fontId="10" fillId="0" borderId="71" xfId="65" applyNumberFormat="1" applyFont="1" applyBorder="1" applyAlignment="1">
      <alignment vertical="center"/>
      <protection/>
    </xf>
    <xf numFmtId="191" fontId="10" fillId="0" borderId="10" xfId="65" applyNumberFormat="1" applyFont="1" applyBorder="1" applyAlignment="1">
      <alignment horizontal="distributed" vertical="center"/>
      <protection/>
    </xf>
    <xf numFmtId="191" fontId="10" fillId="0" borderId="10" xfId="65" applyNumberFormat="1" applyFont="1" applyBorder="1" applyAlignment="1">
      <alignment vertical="center"/>
      <protection/>
    </xf>
    <xf numFmtId="193" fontId="10" fillId="0" borderId="10" xfId="65" applyNumberFormat="1" applyFont="1" applyBorder="1" applyAlignment="1">
      <alignment vertical="center"/>
      <protection/>
    </xf>
    <xf numFmtId="191" fontId="10" fillId="0" borderId="72" xfId="65" applyNumberFormat="1" applyFont="1" applyBorder="1" applyAlignment="1">
      <alignment vertical="center"/>
      <protection/>
    </xf>
    <xf numFmtId="191" fontId="10" fillId="0" borderId="10" xfId="65" applyNumberFormat="1" applyFont="1" applyBorder="1" applyAlignment="1">
      <alignment horizontal="center" vertical="center"/>
      <protection/>
    </xf>
    <xf numFmtId="191" fontId="24" fillId="0" borderId="73" xfId="65" applyNumberFormat="1" applyFont="1" applyBorder="1" applyAlignment="1">
      <alignment vertical="center"/>
      <protection/>
    </xf>
    <xf numFmtId="191" fontId="24" fillId="0" borderId="73" xfId="65" applyNumberFormat="1" applyFont="1" applyBorder="1" applyAlignment="1">
      <alignment horizontal="right" vertical="center"/>
      <protection/>
    </xf>
    <xf numFmtId="191" fontId="24" fillId="0" borderId="74" xfId="65" applyNumberFormat="1" applyFont="1" applyBorder="1" applyAlignment="1">
      <alignment vertical="center"/>
      <protection/>
    </xf>
    <xf numFmtId="191" fontId="10" fillId="0" borderId="75" xfId="65" applyNumberFormat="1" applyFont="1" applyBorder="1" applyAlignment="1">
      <alignment vertical="center"/>
      <protection/>
    </xf>
    <xf numFmtId="191" fontId="10" fillId="0" borderId="76" xfId="65" applyNumberFormat="1" applyFont="1" applyBorder="1" applyAlignment="1">
      <alignment vertical="center"/>
      <protection/>
    </xf>
    <xf numFmtId="191" fontId="10" fillId="0" borderId="10" xfId="65" applyNumberFormat="1" applyFont="1" applyBorder="1" applyAlignment="1">
      <alignment horizontal="right" vertical="center"/>
      <protection/>
    </xf>
    <xf numFmtId="191" fontId="25" fillId="0" borderId="0" xfId="65" applyNumberFormat="1" applyFont="1" applyAlignment="1">
      <alignment vertical="center"/>
      <protection/>
    </xf>
    <xf numFmtId="3" fontId="0" fillId="33" borderId="22" xfId="65" applyNumberFormat="1" applyFont="1" applyFill="1" applyBorder="1" applyAlignment="1">
      <alignment vertical="center"/>
      <protection/>
    </xf>
    <xf numFmtId="191" fontId="0" fillId="0" borderId="0" xfId="65" applyNumberFormat="1" applyFont="1" applyAlignment="1">
      <alignment horizontal="left" vertical="center"/>
      <protection/>
    </xf>
    <xf numFmtId="195" fontId="0" fillId="0" borderId="0" xfId="65" applyNumberFormat="1" applyFont="1" applyBorder="1" applyAlignment="1">
      <alignment vertical="center"/>
      <protection/>
    </xf>
    <xf numFmtId="49" fontId="0" fillId="0" borderId="0" xfId="65" applyNumberFormat="1" applyFont="1" applyFill="1" applyBorder="1" applyAlignment="1">
      <alignment horizontal="left" vertical="center" indent="1" shrinkToFit="1"/>
      <protection/>
    </xf>
    <xf numFmtId="49" fontId="0" fillId="0" borderId="0" xfId="65" applyNumberFormat="1" applyFont="1" applyFill="1" applyBorder="1" applyAlignment="1" quotePrefix="1">
      <alignment vertical="center"/>
      <protection/>
    </xf>
    <xf numFmtId="41" fontId="19" fillId="0" borderId="0" xfId="49" applyFont="1" applyAlignment="1">
      <alignment horizontal="left" vertical="center"/>
    </xf>
    <xf numFmtId="0" fontId="16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41" fontId="14" fillId="0" borderId="0" xfId="49" applyFont="1" applyAlignment="1">
      <alignment horizontal="center" vertical="center" shrinkToFit="1"/>
    </xf>
    <xf numFmtId="191" fontId="10" fillId="0" borderId="10" xfId="65" applyNumberFormat="1" applyFont="1" applyBorder="1" applyAlignment="1">
      <alignment vertical="center"/>
      <protection/>
    </xf>
    <xf numFmtId="191" fontId="10" fillId="0" borderId="77" xfId="65" applyNumberFormat="1" applyFont="1" applyBorder="1" applyAlignment="1">
      <alignment horizontal="center" vertical="center"/>
      <protection/>
    </xf>
    <xf numFmtId="191" fontId="10" fillId="0" borderId="78" xfId="65" applyNumberFormat="1" applyFont="1" applyBorder="1" applyAlignment="1">
      <alignment horizontal="center" vertical="center"/>
      <protection/>
    </xf>
    <xf numFmtId="191" fontId="10" fillId="0" borderId="75" xfId="65" applyNumberFormat="1" applyFont="1" applyBorder="1" applyAlignment="1">
      <alignment horizontal="center" vertical="center"/>
      <protection/>
    </xf>
    <xf numFmtId="191" fontId="10" fillId="0" borderId="75" xfId="65" applyNumberFormat="1" applyFont="1" applyBorder="1" applyAlignment="1">
      <alignment vertical="center"/>
      <protection/>
    </xf>
    <xf numFmtId="191" fontId="23" fillId="0" borderId="79" xfId="65" applyNumberFormat="1" applyFont="1" applyBorder="1" applyAlignment="1">
      <alignment horizontal="center" vertical="center"/>
      <protection/>
    </xf>
    <xf numFmtId="191" fontId="23" fillId="0" borderId="80" xfId="65" applyNumberFormat="1" applyFont="1" applyBorder="1" applyAlignment="1">
      <alignment horizontal="center" vertical="center"/>
      <protection/>
    </xf>
    <xf numFmtId="191" fontId="23" fillId="0" borderId="81" xfId="65" applyNumberFormat="1" applyFont="1" applyBorder="1" applyAlignment="1">
      <alignment horizontal="center" vertical="center"/>
      <protection/>
    </xf>
    <xf numFmtId="191" fontId="10" fillId="0" borderId="70" xfId="65" applyNumberFormat="1" applyFont="1" applyBorder="1" applyAlignment="1">
      <alignment vertical="center"/>
      <protection/>
    </xf>
    <xf numFmtId="191" fontId="24" fillId="0" borderId="82" xfId="65" applyNumberFormat="1" applyFont="1" applyBorder="1" applyAlignment="1">
      <alignment horizontal="center" vertical="center" textRotation="255"/>
      <protection/>
    </xf>
    <xf numFmtId="191" fontId="24" fillId="0" borderId="83" xfId="65" applyNumberFormat="1" applyFont="1" applyBorder="1" applyAlignment="1">
      <alignment horizontal="center" vertical="center" textRotation="255"/>
      <protection/>
    </xf>
    <xf numFmtId="191" fontId="24" fillId="0" borderId="84" xfId="65" applyNumberFormat="1" applyFont="1" applyBorder="1" applyAlignment="1">
      <alignment horizontal="center" vertical="center" textRotation="255"/>
      <protection/>
    </xf>
    <xf numFmtId="191" fontId="10" fillId="0" borderId="68" xfId="65" applyNumberFormat="1" applyFont="1" applyBorder="1" applyAlignment="1">
      <alignment horizontal="center" vertical="center"/>
      <protection/>
    </xf>
    <xf numFmtId="191" fontId="24" fillId="0" borderId="73" xfId="65" applyNumberFormat="1" applyFont="1" applyBorder="1" applyAlignment="1">
      <alignment horizontal="center" vertical="center"/>
      <protection/>
    </xf>
    <xf numFmtId="191" fontId="24" fillId="0" borderId="85" xfId="65" applyNumberFormat="1" applyFont="1" applyBorder="1" applyAlignment="1">
      <alignment horizontal="center" vertical="center" textRotation="255"/>
      <protection/>
    </xf>
    <xf numFmtId="191" fontId="8" fillId="0" borderId="0" xfId="65" applyNumberFormat="1" applyFont="1" applyAlignment="1">
      <alignment horizontal="center" vertical="center"/>
      <protection/>
    </xf>
    <xf numFmtId="191" fontId="0" fillId="0" borderId="64" xfId="65" applyNumberFormat="1" applyFont="1" applyBorder="1" applyAlignment="1">
      <alignment horizontal="center" vertical="center"/>
      <protection/>
    </xf>
    <xf numFmtId="191" fontId="0" fillId="0" borderId="44" xfId="65" applyNumberFormat="1" applyFont="1" applyBorder="1" applyAlignment="1">
      <alignment horizontal="center" vertical="center"/>
      <protection/>
    </xf>
    <xf numFmtId="191" fontId="0" fillId="0" borderId="59" xfId="65" applyNumberFormat="1" applyFont="1" applyBorder="1" applyAlignment="1">
      <alignment horizontal="center" vertical="center"/>
      <protection/>
    </xf>
    <xf numFmtId="191" fontId="0" fillId="0" borderId="42" xfId="65" applyNumberFormat="1" applyFont="1" applyBorder="1" applyAlignment="1">
      <alignment horizontal="center" vertical="center"/>
      <protection/>
    </xf>
    <xf numFmtId="191" fontId="0" fillId="0" borderId="12" xfId="65" applyNumberFormat="1" applyFont="1" applyBorder="1" applyAlignment="1">
      <alignment horizontal="center" vertical="center"/>
      <protection/>
    </xf>
    <xf numFmtId="191" fontId="0" fillId="0" borderId="42" xfId="65" applyNumberFormat="1" applyFont="1" applyBorder="1" applyAlignment="1">
      <alignment horizontal="center" vertical="center" wrapText="1"/>
      <protection/>
    </xf>
    <xf numFmtId="191" fontId="0" fillId="0" borderId="12" xfId="65" applyNumberFormat="1" applyFont="1" applyBorder="1" applyAlignment="1">
      <alignment horizontal="center" vertical="center" wrapText="1"/>
      <protection/>
    </xf>
    <xf numFmtId="191" fontId="0" fillId="0" borderId="52" xfId="65" applyNumberFormat="1" applyFont="1" applyBorder="1" applyAlignment="1">
      <alignment horizontal="center" vertical="center"/>
      <protection/>
    </xf>
    <xf numFmtId="191" fontId="0" fillId="0" borderId="86" xfId="65" applyNumberFormat="1" applyFont="1" applyBorder="1" applyAlignment="1">
      <alignment horizontal="center" vertical="center"/>
      <protection/>
    </xf>
    <xf numFmtId="191" fontId="0" fillId="34" borderId="64" xfId="65" applyNumberFormat="1" applyFont="1" applyFill="1" applyBorder="1" applyAlignment="1">
      <alignment horizontal="left" vertical="center" wrapText="1"/>
      <protection/>
    </xf>
    <xf numFmtId="191" fontId="0" fillId="34" borderId="44" xfId="65" applyNumberFormat="1" applyFont="1" applyFill="1" applyBorder="1" applyAlignment="1">
      <alignment horizontal="left" vertical="center" wrapText="1"/>
      <protection/>
    </xf>
    <xf numFmtId="191" fontId="0" fillId="34" borderId="59" xfId="65" applyNumberFormat="1" applyFont="1" applyFill="1" applyBorder="1" applyAlignment="1">
      <alignment horizontal="left" vertical="center" wrapText="1"/>
      <protection/>
    </xf>
    <xf numFmtId="191" fontId="0" fillId="0" borderId="47" xfId="65" applyNumberFormat="1" applyFont="1" applyBorder="1" applyAlignment="1">
      <alignment horizontal="center" vertical="center"/>
      <protection/>
    </xf>
    <xf numFmtId="191" fontId="0" fillId="0" borderId="36" xfId="65" applyNumberFormat="1" applyFont="1" applyBorder="1" applyAlignment="1">
      <alignment horizontal="center" vertical="center"/>
      <protection/>
    </xf>
    <xf numFmtId="191" fontId="0" fillId="0" borderId="87" xfId="65" applyNumberFormat="1" applyFont="1" applyBorder="1" applyAlignment="1">
      <alignment horizontal="center" vertical="center"/>
      <protection/>
    </xf>
    <xf numFmtId="191" fontId="0" fillId="35" borderId="33" xfId="65" applyNumberFormat="1" applyFont="1" applyFill="1" applyBorder="1" applyAlignment="1">
      <alignment horizontal="left" vertical="center" wrapText="1"/>
      <protection/>
    </xf>
    <xf numFmtId="191" fontId="0" fillId="35" borderId="54" xfId="65" applyNumberFormat="1" applyFont="1" applyFill="1" applyBorder="1" applyAlignment="1">
      <alignment horizontal="left" vertical="center" wrapText="1"/>
      <protection/>
    </xf>
    <xf numFmtId="191" fontId="0" fillId="0" borderId="16" xfId="65" applyNumberFormat="1" applyFont="1" applyBorder="1" applyAlignment="1">
      <alignment horizontal="center" vertical="center"/>
      <protection/>
    </xf>
    <xf numFmtId="191" fontId="0" fillId="0" borderId="20" xfId="65" applyNumberFormat="1" applyFont="1" applyBorder="1" applyAlignment="1">
      <alignment horizontal="center" vertical="center"/>
      <protection/>
    </xf>
    <xf numFmtId="191" fontId="0" fillId="0" borderId="20" xfId="65" applyNumberFormat="1" applyFont="1" applyBorder="1" applyAlignment="1">
      <alignment vertical="center" wrapText="1"/>
      <protection/>
    </xf>
    <xf numFmtId="191" fontId="0" fillId="0" borderId="23" xfId="65" applyNumberFormat="1" applyFont="1" applyBorder="1" applyAlignment="1">
      <alignment vertical="center" wrapText="1"/>
      <protection/>
    </xf>
    <xf numFmtId="191" fontId="0" fillId="0" borderId="25" xfId="65" applyNumberFormat="1" applyFont="1" applyBorder="1" applyAlignment="1">
      <alignment vertical="center" wrapText="1"/>
      <protection/>
    </xf>
    <xf numFmtId="191" fontId="0" fillId="0" borderId="37" xfId="65" applyNumberFormat="1" applyFont="1" applyBorder="1" applyAlignment="1">
      <alignment horizontal="center" vertical="center"/>
      <protection/>
    </xf>
    <xf numFmtId="191" fontId="0" fillId="0" borderId="25" xfId="65" applyNumberFormat="1" applyFont="1" applyBorder="1" applyAlignment="1">
      <alignment horizontal="center" vertical="center"/>
      <protection/>
    </xf>
    <xf numFmtId="191" fontId="0" fillId="34" borderId="64" xfId="65" applyNumberFormat="1" applyFont="1" applyFill="1" applyBorder="1" applyAlignment="1">
      <alignment horizontal="left" vertical="center"/>
      <protection/>
    </xf>
    <xf numFmtId="191" fontId="0" fillId="34" borderId="44" xfId="65" applyNumberFormat="1" applyFont="1" applyFill="1" applyBorder="1" applyAlignment="1">
      <alignment horizontal="left" vertical="center"/>
      <protection/>
    </xf>
    <xf numFmtId="191" fontId="0" fillId="34" borderId="59" xfId="65" applyNumberFormat="1" applyFont="1" applyFill="1" applyBorder="1" applyAlignment="1">
      <alignment horizontal="left" vertical="center"/>
      <protection/>
    </xf>
    <xf numFmtId="191" fontId="0" fillId="0" borderId="13" xfId="65" applyNumberFormat="1" applyFont="1" applyBorder="1" applyAlignment="1">
      <alignment vertical="center"/>
      <protection/>
    </xf>
    <xf numFmtId="191" fontId="0" fillId="0" borderId="15" xfId="65" applyNumberFormat="1" applyFont="1" applyBorder="1" applyAlignment="1">
      <alignment vertical="center"/>
      <protection/>
    </xf>
    <xf numFmtId="191" fontId="0" fillId="35" borderId="33" xfId="65" applyNumberFormat="1" applyFont="1" applyFill="1" applyBorder="1" applyAlignment="1">
      <alignment horizontal="left" vertical="center"/>
      <protection/>
    </xf>
    <xf numFmtId="191" fontId="0" fillId="35" borderId="54" xfId="65" applyNumberFormat="1" applyFont="1" applyFill="1" applyBorder="1" applyAlignment="1">
      <alignment horizontal="left" vertical="center"/>
      <protection/>
    </xf>
    <xf numFmtId="191" fontId="0" fillId="0" borderId="16" xfId="65" applyNumberFormat="1" applyFont="1" applyBorder="1" applyAlignment="1">
      <alignment vertical="center"/>
      <protection/>
    </xf>
    <xf numFmtId="191" fontId="0" fillId="0" borderId="20" xfId="65" applyNumberFormat="1" applyFont="1" applyBorder="1" applyAlignment="1">
      <alignment vertical="center"/>
      <protection/>
    </xf>
    <xf numFmtId="191" fontId="9" fillId="36" borderId="66" xfId="65" applyNumberFormat="1" applyFont="1" applyFill="1" applyBorder="1" applyAlignment="1">
      <alignment horizontal="center" vertical="center"/>
      <protection/>
    </xf>
    <xf numFmtId="191" fontId="9" fillId="36" borderId="50" xfId="65" applyNumberFormat="1" applyFont="1" applyFill="1" applyBorder="1" applyAlignment="1">
      <alignment horizontal="center" vertical="center"/>
      <protection/>
    </xf>
    <xf numFmtId="191" fontId="9" fillId="36" borderId="56" xfId="65" applyNumberFormat="1" applyFont="1" applyFill="1" applyBorder="1" applyAlignment="1">
      <alignment horizontal="center" vertical="center"/>
      <protection/>
    </xf>
    <xf numFmtId="191" fontId="0" fillId="0" borderId="15" xfId="65" applyNumberFormat="1" applyFont="1" applyBorder="1" applyAlignment="1">
      <alignment horizontal="center" vertical="center"/>
      <protection/>
    </xf>
    <xf numFmtId="191" fontId="0" fillId="0" borderId="40" xfId="65" applyNumberFormat="1" applyFont="1" applyBorder="1" applyAlignment="1">
      <alignment horizontal="center" vertical="center"/>
      <protection/>
    </xf>
    <xf numFmtId="191" fontId="0" fillId="0" borderId="58" xfId="65" applyNumberFormat="1" applyFont="1" applyBorder="1" applyAlignment="1">
      <alignment horizontal="center" vertical="center"/>
      <protection/>
    </xf>
    <xf numFmtId="191" fontId="0" fillId="0" borderId="11" xfId="65" applyNumberFormat="1" applyFont="1" applyBorder="1" applyAlignment="1">
      <alignment horizontal="center" vertical="center"/>
      <protection/>
    </xf>
    <xf numFmtId="191" fontId="0" fillId="0" borderId="52" xfId="65" applyNumberFormat="1" applyFont="1" applyBorder="1" applyAlignment="1">
      <alignment horizontal="center" vertical="center" wrapText="1"/>
      <protection/>
    </xf>
    <xf numFmtId="191" fontId="0" fillId="0" borderId="86" xfId="65" applyNumberFormat="1" applyFont="1" applyBorder="1" applyAlignment="1">
      <alignment horizontal="center" vertical="center" wrapText="1"/>
      <protection/>
    </xf>
    <xf numFmtId="191" fontId="0" fillId="0" borderId="88" xfId="65" applyNumberFormat="1" applyFont="1" applyBorder="1" applyAlignment="1">
      <alignment horizontal="center" vertical="center"/>
      <protection/>
    </xf>
    <xf numFmtId="191" fontId="0" fillId="0" borderId="89" xfId="65" applyNumberFormat="1" applyFont="1" applyBorder="1" applyAlignment="1">
      <alignment horizontal="center" vertical="center"/>
      <protection/>
    </xf>
    <xf numFmtId="191" fontId="0" fillId="0" borderId="90" xfId="65" applyNumberFormat="1" applyFont="1" applyBorder="1" applyAlignment="1">
      <alignment horizontal="center" vertical="center"/>
      <protection/>
    </xf>
    <xf numFmtId="191" fontId="0" fillId="0" borderId="91" xfId="65" applyNumberFormat="1" applyFont="1" applyBorder="1" applyAlignment="1">
      <alignment horizontal="center" vertical="center"/>
      <protection/>
    </xf>
    <xf numFmtId="191" fontId="0" fillId="34" borderId="66" xfId="65" applyNumberFormat="1" applyFont="1" applyFill="1" applyBorder="1" applyAlignment="1">
      <alignment horizontal="left" vertical="center" wrapText="1"/>
      <protection/>
    </xf>
    <xf numFmtId="191" fontId="0" fillId="34" borderId="50" xfId="65" applyNumberFormat="1" applyFont="1" applyFill="1" applyBorder="1" applyAlignment="1">
      <alignment horizontal="left" vertical="center" wrapText="1"/>
      <protection/>
    </xf>
    <xf numFmtId="191" fontId="0" fillId="34" borderId="50" xfId="65" applyNumberFormat="1" applyFont="1" applyFill="1" applyBorder="1" applyAlignment="1">
      <alignment vertical="center"/>
      <protection/>
    </xf>
    <xf numFmtId="191" fontId="0" fillId="34" borderId="51" xfId="65" applyNumberFormat="1" applyFont="1" applyFill="1" applyBorder="1" applyAlignment="1">
      <alignment vertical="center"/>
      <protection/>
    </xf>
    <xf numFmtId="191" fontId="0" fillId="35" borderId="48" xfId="65" applyNumberFormat="1" applyFont="1" applyFill="1" applyBorder="1" applyAlignment="1">
      <alignment horizontal="left" vertical="center" wrapText="1"/>
      <protection/>
    </xf>
    <xf numFmtId="191" fontId="0" fillId="35" borderId="24" xfId="65" applyNumberFormat="1" applyFont="1" applyFill="1" applyBorder="1" applyAlignment="1">
      <alignment horizontal="left" vertical="center" wrapText="1"/>
      <protection/>
    </xf>
    <xf numFmtId="191" fontId="0" fillId="35" borderId="24" xfId="65" applyNumberFormat="1" applyFont="1" applyFill="1" applyBorder="1" applyAlignment="1">
      <alignment vertical="center"/>
      <protection/>
    </xf>
    <xf numFmtId="191" fontId="0" fillId="35" borderId="0" xfId="65" applyNumberFormat="1" applyFont="1" applyFill="1" applyBorder="1" applyAlignment="1">
      <alignment vertical="center"/>
      <protection/>
    </xf>
    <xf numFmtId="191" fontId="0" fillId="35" borderId="22" xfId="65" applyNumberFormat="1" applyFont="1" applyFill="1" applyBorder="1" applyAlignment="1">
      <alignment vertical="center"/>
      <protection/>
    </xf>
    <xf numFmtId="191" fontId="0" fillId="0" borderId="14" xfId="65" applyNumberFormat="1" applyFont="1" applyBorder="1" applyAlignment="1">
      <alignment horizontal="center" vertical="center"/>
      <protection/>
    </xf>
    <xf numFmtId="191" fontId="0" fillId="35" borderId="34" xfId="65" applyNumberFormat="1" applyFont="1" applyFill="1" applyBorder="1" applyAlignment="1">
      <alignment horizontal="left" vertical="center"/>
      <protection/>
    </xf>
    <xf numFmtId="191" fontId="0" fillId="35" borderId="33" xfId="65" applyNumberFormat="1" applyFont="1" applyFill="1" applyBorder="1" applyAlignment="1">
      <alignment horizontal="left" vertical="center"/>
      <protection/>
    </xf>
    <xf numFmtId="191" fontId="0" fillId="0" borderId="63" xfId="65" applyNumberFormat="1" applyFont="1" applyBorder="1" applyAlignment="1">
      <alignment horizontal="center" vertical="center" shrinkToFit="1"/>
      <protection/>
    </xf>
    <xf numFmtId="191" fontId="0" fillId="0" borderId="14" xfId="65" applyNumberFormat="1" applyFont="1" applyBorder="1" applyAlignment="1">
      <alignment horizontal="center" vertical="center" shrinkToFit="1"/>
      <protection/>
    </xf>
    <xf numFmtId="191" fontId="0" fillId="37" borderId="17" xfId="65" applyNumberFormat="1" applyFont="1" applyFill="1" applyBorder="1" applyAlignment="1">
      <alignment horizontal="center" vertical="center"/>
      <protection/>
    </xf>
    <xf numFmtId="191" fontId="0" fillId="37" borderId="21" xfId="65" applyNumberFormat="1" applyFont="1" applyFill="1" applyBorder="1" applyAlignment="1">
      <alignment horizontal="center" vertical="center"/>
      <protection/>
    </xf>
    <xf numFmtId="191" fontId="0" fillId="37" borderId="48" xfId="65" applyNumberFormat="1" applyFont="1" applyFill="1" applyBorder="1" applyAlignment="1">
      <alignment horizontal="center" vertical="center"/>
      <protection/>
    </xf>
    <xf numFmtId="191" fontId="0" fillId="0" borderId="14" xfId="65" applyNumberFormat="1" applyFont="1" applyFill="1" applyBorder="1" applyAlignment="1">
      <alignment horizontal="center" vertical="center"/>
      <protection/>
    </xf>
    <xf numFmtId="191" fontId="0" fillId="34" borderId="66" xfId="65" applyNumberFormat="1" applyFont="1" applyFill="1" applyBorder="1" applyAlignment="1">
      <alignment horizontal="left" vertical="center"/>
      <protection/>
    </xf>
    <xf numFmtId="191" fontId="0" fillId="34" borderId="50" xfId="65" applyNumberFormat="1" applyFont="1" applyFill="1" applyBorder="1" applyAlignment="1">
      <alignment horizontal="left" vertical="center"/>
      <protection/>
    </xf>
    <xf numFmtId="191" fontId="0" fillId="34" borderId="66" xfId="65" applyNumberFormat="1" applyFont="1" applyFill="1" applyBorder="1" applyAlignment="1">
      <alignment horizontal="left" vertical="center"/>
      <protection/>
    </xf>
    <xf numFmtId="191" fontId="0" fillId="35" borderId="43" xfId="65" applyNumberFormat="1" applyFont="1" applyFill="1" applyBorder="1" applyAlignment="1">
      <alignment horizontal="left" vertical="center"/>
      <protection/>
    </xf>
    <xf numFmtId="191" fontId="0" fillId="35" borderId="44" xfId="65" applyNumberFormat="1" applyFont="1" applyFill="1" applyBorder="1" applyAlignment="1">
      <alignment horizontal="left" vertical="center"/>
      <protection/>
    </xf>
    <xf numFmtId="191" fontId="9" fillId="36" borderId="51" xfId="65" applyNumberFormat="1" applyFont="1" applyFill="1" applyBorder="1" applyAlignment="1">
      <alignment horizontal="center" vertical="center"/>
      <protection/>
    </xf>
    <xf numFmtId="191" fontId="0" fillId="35" borderId="14" xfId="65" applyNumberFormat="1" applyFont="1" applyFill="1" applyBorder="1" applyAlignment="1">
      <alignment horizontal="left" vertical="center"/>
      <protection/>
    </xf>
    <xf numFmtId="191" fontId="2" fillId="0" borderId="10" xfId="65" applyNumberFormat="1" applyFont="1" applyBorder="1" applyAlignment="1">
      <alignment horizontal="center" vertical="center"/>
      <protection/>
    </xf>
    <xf numFmtId="191" fontId="2" fillId="0" borderId="77" xfId="65" applyNumberFormat="1" applyFont="1" applyBorder="1" applyAlignment="1">
      <alignment vertical="center"/>
      <protection/>
    </xf>
    <xf numFmtId="191" fontId="2" fillId="0" borderId="78" xfId="65" applyNumberFormat="1" applyFont="1" applyBorder="1" applyAlignment="1">
      <alignment vertical="center"/>
      <protection/>
    </xf>
    <xf numFmtId="191" fontId="2" fillId="0" borderId="66" xfId="65" applyNumberFormat="1" applyFont="1" applyBorder="1" applyAlignment="1">
      <alignment vertical="center"/>
      <protection/>
    </xf>
    <xf numFmtId="191" fontId="2" fillId="0" borderId="51" xfId="65" applyNumberFormat="1" applyFont="1" applyBorder="1" applyAlignment="1">
      <alignment vertical="center"/>
      <protection/>
    </xf>
    <xf numFmtId="191" fontId="22" fillId="0" borderId="79" xfId="65" applyNumberFormat="1" applyFont="1" applyBorder="1" applyAlignment="1">
      <alignment horizontal="center" vertical="top"/>
      <protection/>
    </xf>
    <xf numFmtId="191" fontId="22" fillId="0" borderId="80" xfId="65" applyNumberFormat="1" applyFont="1" applyBorder="1" applyAlignment="1">
      <alignment horizontal="center" vertical="top"/>
      <protection/>
    </xf>
    <xf numFmtId="191" fontId="22" fillId="0" borderId="81" xfId="65" applyNumberFormat="1" applyFont="1" applyBorder="1" applyAlignment="1">
      <alignment horizontal="center" vertical="top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임직원" xfId="61"/>
    <cellStyle name="콤마_임직원" xfId="62"/>
    <cellStyle name="Currency" xfId="63"/>
    <cellStyle name="Currency [0]" xfId="64"/>
    <cellStyle name="표준_2001년예산_여천고" xfId="65"/>
    <cellStyle name="표준_진상회계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C\LOCALS~1\Temp\Handy\&#46160;&#47336;&#48120;\&#47928;&#49436;\&#54617;&#44368;&#54924;&#44228;\&#44553;&#498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0976;-&#44368;&#50977;&#52397;\2014&#45380;%20&#50696;&#44208;&#49328;\2013&#45380;&#46020;&#50696;&#49328;&#49436;(&#50696;&#49884;&#505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관별"/>
      <sheetName val="세입"/>
      <sheetName val="세출"/>
      <sheetName val="성질"/>
      <sheetName val="조정우선순위_삭감"/>
      <sheetName val="가용재원"/>
      <sheetName val="가용재원 (2)"/>
      <sheetName val="배분액표"/>
      <sheetName val="기본운영비"/>
      <sheetName val="시설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칙"/>
      <sheetName val="총괄표"/>
      <sheetName val="세입"/>
      <sheetName val="세출"/>
      <sheetName val="성질"/>
    </sheetNames>
    <sheetDataSet>
      <sheetData sheetId="4">
        <row r="86">
          <cell r="D86">
            <v>0</v>
          </cell>
          <cell r="E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"/>
  <cols>
    <col min="1" max="16384" width="11.421875" style="72" customWidth="1"/>
  </cols>
  <sheetData>
    <row r="1" ht="16.5" customHeight="1"/>
    <row r="2" ht="16.5" customHeight="1"/>
    <row r="3" ht="9.75" customHeight="1"/>
    <row r="4" spans="1:2" ht="24" customHeight="1">
      <c r="A4" s="73" t="s">
        <v>511</v>
      </c>
      <c r="B4" s="74"/>
    </row>
    <row r="5" spans="1:2" ht="16.5" customHeight="1">
      <c r="A5" s="75"/>
      <c r="B5" s="75"/>
    </row>
    <row r="6" ht="16.5" customHeight="1">
      <c r="C6" s="76"/>
    </row>
    <row r="7" ht="16.5" customHeight="1"/>
    <row r="9" spans="1:8" ht="46.5" customHeight="1">
      <c r="A9" s="192" t="s">
        <v>130</v>
      </c>
      <c r="B9" s="77"/>
      <c r="C9" s="77"/>
      <c r="D9" s="77"/>
      <c r="E9" s="77"/>
      <c r="F9" s="77"/>
      <c r="G9" s="77"/>
      <c r="H9" s="77"/>
    </row>
    <row r="10" spans="1:8" ht="25.5">
      <c r="A10" s="77"/>
      <c r="B10" s="77"/>
      <c r="C10" s="77"/>
      <c r="D10" s="77"/>
      <c r="E10" s="77"/>
      <c r="F10" s="77"/>
      <c r="G10" s="77"/>
      <c r="H10" s="77"/>
    </row>
    <row r="11" spans="1:8" ht="25.5">
      <c r="A11" s="77"/>
      <c r="B11" s="77"/>
      <c r="C11" s="77"/>
      <c r="D11" s="77"/>
      <c r="E11" s="77"/>
      <c r="F11" s="77"/>
      <c r="G11" s="77"/>
      <c r="H11" s="77"/>
    </row>
    <row r="12" spans="1:8" ht="25.5">
      <c r="A12" s="77"/>
      <c r="B12" s="77"/>
      <c r="C12" s="77"/>
      <c r="D12" s="77"/>
      <c r="E12" s="77"/>
      <c r="F12" s="77"/>
      <c r="G12" s="77"/>
      <c r="H12" s="77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spans="1:8" s="78" customFormat="1" ht="41.25" customHeight="1">
      <c r="A25" s="263" t="s">
        <v>131</v>
      </c>
      <c r="B25" s="263"/>
      <c r="C25" s="263"/>
      <c r="D25" s="263"/>
      <c r="E25" s="263"/>
      <c r="F25" s="263"/>
      <c r="G25" s="263"/>
      <c r="H25" s="263"/>
    </row>
    <row r="26" spans="1:7" ht="23.25" customHeight="1">
      <c r="A26" s="77"/>
      <c r="B26" s="77"/>
      <c r="C26" s="77"/>
      <c r="D26" s="77"/>
      <c r="E26" s="77"/>
      <c r="F26" s="77"/>
      <c r="G26" s="77"/>
    </row>
    <row r="27" spans="1:7" ht="23.25" customHeight="1">
      <c r="A27" s="79"/>
      <c r="B27" s="79"/>
      <c r="C27" s="79"/>
      <c r="D27" s="79"/>
      <c r="E27" s="79"/>
      <c r="F27" s="79"/>
      <c r="G27" s="79"/>
    </row>
  </sheetData>
  <sheetProtection/>
  <mergeCells count="1">
    <mergeCell ref="A25:H25"/>
  </mergeCells>
  <printOptions/>
  <pageMargins left="0.4330708661417323" right="0.2362204724409449" top="1.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100" zoomScalePageLayoutView="0" workbookViewId="0" topLeftCell="A1">
      <selection activeCell="E2" sqref="E2"/>
    </sheetView>
  </sheetViews>
  <sheetFormatPr defaultColWidth="11.421875" defaultRowHeight="12"/>
  <cols>
    <col min="1" max="1" width="11.421875" style="72" customWidth="1"/>
    <col min="2" max="2" width="17.140625" style="72" customWidth="1"/>
    <col min="3" max="3" width="3.140625" style="72" customWidth="1"/>
    <col min="4" max="16384" width="11.421875" style="72" customWidth="1"/>
  </cols>
  <sheetData>
    <row r="1" ht="23.25" customHeight="1"/>
    <row r="2" spans="3:6" ht="23.25" customHeight="1">
      <c r="C2" s="80" t="s">
        <v>129</v>
      </c>
      <c r="D2" s="80"/>
      <c r="E2" s="80"/>
      <c r="F2" s="80"/>
    </row>
    <row r="3" spans="3:6" ht="23.25" customHeight="1">
      <c r="C3" s="80"/>
      <c r="D3" s="80"/>
      <c r="E3" s="80"/>
      <c r="F3" s="80"/>
    </row>
    <row r="4" ht="19.5" customHeight="1"/>
    <row r="5" ht="19.5" customHeight="1"/>
    <row r="6" spans="1:10" s="81" customFormat="1" ht="22.5" customHeight="1">
      <c r="A6" s="99" t="s">
        <v>122</v>
      </c>
      <c r="B6" s="100" t="s">
        <v>508</v>
      </c>
      <c r="C6" s="99"/>
      <c r="D6" s="99"/>
      <c r="E6" s="99"/>
      <c r="F6" s="99"/>
      <c r="G6" s="99"/>
      <c r="H6" s="99"/>
      <c r="I6" s="99"/>
      <c r="J6" s="99"/>
    </row>
    <row r="7" spans="1:10" s="81" customFormat="1" ht="22.5" customHeight="1">
      <c r="A7" s="99"/>
      <c r="B7" s="262" t="s">
        <v>532</v>
      </c>
      <c r="C7" s="99"/>
      <c r="D7" s="99"/>
      <c r="E7" s="99"/>
      <c r="F7" s="99"/>
      <c r="G7" s="99"/>
      <c r="H7" s="99"/>
      <c r="I7" s="99"/>
      <c r="J7" s="99"/>
    </row>
    <row r="8" spans="1:10" s="81" customFormat="1" ht="22.5" customHeight="1">
      <c r="A8" s="99"/>
      <c r="B8" s="99" t="s">
        <v>97</v>
      </c>
      <c r="C8" s="99"/>
      <c r="D8" s="99"/>
      <c r="E8" s="99"/>
      <c r="F8" s="99"/>
      <c r="G8" s="99"/>
      <c r="H8" s="99"/>
      <c r="I8" s="99"/>
      <c r="J8" s="99"/>
    </row>
    <row r="9" spans="1:10" s="81" customFormat="1" ht="15.75" customHeight="1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s="81" customFormat="1" ht="19.5" customHeight="1">
      <c r="A10" s="99" t="s">
        <v>98</v>
      </c>
      <c r="B10" s="99" t="s">
        <v>509</v>
      </c>
      <c r="C10" s="99"/>
      <c r="D10" s="99"/>
      <c r="E10" s="99"/>
      <c r="F10" s="99"/>
      <c r="G10" s="99"/>
      <c r="H10" s="99"/>
      <c r="I10" s="99"/>
      <c r="J10" s="99"/>
    </row>
    <row r="11" spans="1:10" s="81" customFormat="1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s="81" customFormat="1" ht="19.5" customHeight="1">
      <c r="A12" s="99" t="s">
        <v>99</v>
      </c>
      <c r="B12" s="99" t="s">
        <v>510</v>
      </c>
      <c r="C12" s="99"/>
      <c r="D12" s="99"/>
      <c r="E12" s="99"/>
      <c r="F12" s="99"/>
      <c r="G12" s="99"/>
      <c r="H12" s="99"/>
      <c r="I12" s="99"/>
      <c r="J12" s="99"/>
    </row>
    <row r="13" spans="1:10" s="81" customFormat="1" ht="19.5" customHeight="1">
      <c r="A13" s="99"/>
      <c r="B13" s="99" t="s">
        <v>53</v>
      </c>
      <c r="C13" s="99"/>
      <c r="D13" s="99"/>
      <c r="E13" s="99"/>
      <c r="F13" s="99"/>
      <c r="G13" s="99"/>
      <c r="H13" s="99"/>
      <c r="I13" s="99"/>
      <c r="J13" s="99"/>
    </row>
    <row r="14" spans="1:10" s="81" customFormat="1" ht="24" customHeight="1">
      <c r="A14" s="99" t="s">
        <v>100</v>
      </c>
      <c r="B14" s="99" t="s">
        <v>101</v>
      </c>
      <c r="C14" s="99"/>
      <c r="D14" s="99"/>
      <c r="E14" s="99"/>
      <c r="F14" s="99"/>
      <c r="G14" s="99"/>
      <c r="H14" s="99"/>
      <c r="I14" s="99"/>
      <c r="J14" s="99"/>
    </row>
    <row r="15" spans="1:10" s="81" customFormat="1" ht="24" customHeight="1">
      <c r="A15" s="99"/>
      <c r="B15" s="99" t="s">
        <v>102</v>
      </c>
      <c r="C15" s="99"/>
      <c r="D15" s="99"/>
      <c r="E15" s="99"/>
      <c r="F15" s="99"/>
      <c r="G15" s="99"/>
      <c r="H15" s="99"/>
      <c r="I15" s="99"/>
      <c r="J15" s="99"/>
    </row>
    <row r="16" spans="1:10" s="81" customFormat="1" ht="24" customHeight="1">
      <c r="A16" s="99"/>
      <c r="B16" s="99" t="s">
        <v>103</v>
      </c>
      <c r="C16" s="99"/>
      <c r="D16" s="99"/>
      <c r="E16" s="99"/>
      <c r="F16" s="99"/>
      <c r="G16" s="99"/>
      <c r="H16" s="99"/>
      <c r="I16" s="99"/>
      <c r="J16" s="99"/>
    </row>
    <row r="17" spans="1:10" s="81" customFormat="1" ht="13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s="81" customFormat="1" ht="21.75" customHeight="1">
      <c r="A18" s="99"/>
      <c r="B18" s="99" t="s">
        <v>128</v>
      </c>
      <c r="C18" s="99"/>
      <c r="D18" s="99"/>
      <c r="E18" s="99"/>
      <c r="F18" s="99"/>
      <c r="G18" s="99"/>
      <c r="H18" s="99"/>
      <c r="I18" s="99"/>
      <c r="J18" s="99"/>
    </row>
    <row r="19" spans="1:10" s="81" customFormat="1" ht="21.75" customHeight="1">
      <c r="A19" s="99"/>
      <c r="B19" s="99" t="s">
        <v>104</v>
      </c>
      <c r="C19" s="99"/>
      <c r="D19" s="99"/>
      <c r="E19" s="99"/>
      <c r="F19" s="99"/>
      <c r="G19" s="99"/>
      <c r="H19" s="99"/>
      <c r="I19" s="99"/>
      <c r="J19" s="99"/>
    </row>
    <row r="20" spans="1:10" s="81" customFormat="1" ht="21.75" customHeight="1">
      <c r="A20" s="99"/>
      <c r="B20" s="99" t="s">
        <v>105</v>
      </c>
      <c r="C20" s="99"/>
      <c r="D20" s="99"/>
      <c r="E20" s="99"/>
      <c r="F20" s="99"/>
      <c r="G20" s="99"/>
      <c r="H20" s="99"/>
      <c r="I20" s="99"/>
      <c r="J20" s="99"/>
    </row>
    <row r="21" spans="1:10" s="81" customFormat="1" ht="12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s="81" customFormat="1" ht="27" customHeight="1">
      <c r="A22" s="99" t="s">
        <v>106</v>
      </c>
      <c r="B22" s="99" t="s">
        <v>107</v>
      </c>
      <c r="C22" s="99"/>
      <c r="D22" s="99"/>
      <c r="E22" s="99"/>
      <c r="F22" s="99"/>
      <c r="G22" s="99"/>
      <c r="H22" s="99"/>
      <c r="I22" s="99"/>
      <c r="J22" s="99"/>
    </row>
    <row r="23" spans="1:10" s="81" customFormat="1" ht="27" customHeight="1">
      <c r="A23" s="99"/>
      <c r="B23" s="99" t="s">
        <v>109</v>
      </c>
      <c r="C23" s="99"/>
      <c r="D23" s="99"/>
      <c r="E23" s="99"/>
      <c r="F23" s="99"/>
      <c r="G23" s="99"/>
      <c r="H23" s="99"/>
      <c r="I23" s="99"/>
      <c r="J23" s="99"/>
    </row>
    <row r="24" spans="1:10" s="81" customFormat="1" ht="27" customHeight="1">
      <c r="A24" s="99"/>
      <c r="B24" s="99" t="s">
        <v>108</v>
      </c>
      <c r="C24" s="99"/>
      <c r="D24" s="99"/>
      <c r="E24" s="99"/>
      <c r="F24" s="99"/>
      <c r="G24" s="99"/>
      <c r="H24" s="99"/>
      <c r="I24" s="99"/>
      <c r="J24" s="99"/>
    </row>
    <row r="25" spans="1:10" s="81" customFormat="1" ht="27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s="81" customFormat="1" ht="27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s="81" customFormat="1" ht="27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="81" customFormat="1" ht="27" customHeight="1"/>
  </sheetData>
  <sheetProtection/>
  <printOptions/>
  <pageMargins left="0.38" right="0.36" top="1.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5"/>
  <sheetViews>
    <sheetView zoomScaleSheetLayoutView="100" zoomScalePageLayoutView="0" workbookViewId="0" topLeftCell="A1">
      <selection activeCell="D14" sqref="D14:E14"/>
    </sheetView>
  </sheetViews>
  <sheetFormatPr defaultColWidth="11.421875" defaultRowHeight="12"/>
  <cols>
    <col min="1" max="3" width="11.421875" style="72" customWidth="1"/>
    <col min="4" max="5" width="13.7109375" style="72" customWidth="1"/>
    <col min="6" max="16384" width="11.421875" style="72" customWidth="1"/>
  </cols>
  <sheetData>
    <row r="1" ht="16.5" customHeight="1"/>
    <row r="2" ht="16.5" customHeight="1"/>
    <row r="3" ht="9.75" customHeight="1"/>
    <row r="4" spans="1:2" ht="24" customHeight="1">
      <c r="A4" s="73"/>
      <c r="B4" s="74"/>
    </row>
    <row r="5" ht="16.5" customHeight="1"/>
    <row r="7" spans="1:8" ht="46.5" customHeight="1">
      <c r="A7" s="264" t="s">
        <v>80</v>
      </c>
      <c r="B7" s="264"/>
      <c r="C7" s="264"/>
      <c r="D7" s="264"/>
      <c r="E7" s="264"/>
      <c r="F7" s="264"/>
      <c r="G7" s="264"/>
      <c r="H7" s="77"/>
    </row>
    <row r="8" spans="1:8" ht="25.5">
      <c r="A8" s="77"/>
      <c r="B8" s="77"/>
      <c r="C8" s="77"/>
      <c r="D8" s="77"/>
      <c r="E8" s="77"/>
      <c r="F8" s="77"/>
      <c r="G8" s="77"/>
      <c r="H8" s="77"/>
    </row>
    <row r="9" spans="1:8" ht="25.5">
      <c r="A9" s="77"/>
      <c r="B9" s="77"/>
      <c r="C9" s="77"/>
      <c r="D9" s="77"/>
      <c r="E9" s="77"/>
      <c r="F9" s="77"/>
      <c r="G9" s="77"/>
      <c r="H9" s="77"/>
    </row>
    <row r="10" spans="1:8" ht="25.5">
      <c r="A10" s="77"/>
      <c r="B10" s="77"/>
      <c r="C10" s="77"/>
      <c r="D10" s="77"/>
      <c r="E10" s="77"/>
      <c r="F10" s="77"/>
      <c r="G10" s="77"/>
      <c r="H10" s="77"/>
    </row>
    <row r="11" spans="1:8" ht="25.5">
      <c r="A11" s="77"/>
      <c r="B11" s="77"/>
      <c r="C11" s="77"/>
      <c r="D11" s="77"/>
      <c r="E11" s="77"/>
      <c r="F11" s="77"/>
      <c r="G11" s="77"/>
      <c r="H11" s="77"/>
    </row>
    <row r="12" ht="23.25" customHeight="1"/>
    <row r="13" spans="2:7" ht="30.75" customHeight="1">
      <c r="B13" s="138" t="s">
        <v>116</v>
      </c>
      <c r="C13" s="139" t="s">
        <v>115</v>
      </c>
      <c r="D13" s="266">
        <v>1414293000</v>
      </c>
      <c r="E13" s="266"/>
      <c r="F13" s="138" t="s">
        <v>117</v>
      </c>
      <c r="G13" s="138"/>
    </row>
    <row r="14" spans="2:7" ht="30.75" customHeight="1">
      <c r="B14" s="138" t="s">
        <v>118</v>
      </c>
      <c r="C14" s="139" t="s">
        <v>115</v>
      </c>
      <c r="D14" s="266">
        <v>1414293000</v>
      </c>
      <c r="E14" s="266"/>
      <c r="F14" s="138" t="s">
        <v>117</v>
      </c>
      <c r="G14" s="94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spans="1:7" ht="23.25" customHeight="1">
      <c r="A21" s="265" t="s">
        <v>81</v>
      </c>
      <c r="B21" s="265"/>
      <c r="C21" s="265"/>
      <c r="D21" s="265"/>
      <c r="E21" s="265"/>
      <c r="F21" s="265"/>
      <c r="G21" s="265"/>
    </row>
    <row r="22" ht="23.25" customHeight="1"/>
    <row r="23" ht="23.25" customHeight="1"/>
    <row r="24" spans="1:3" ht="23.25" customHeight="1">
      <c r="A24" s="77"/>
      <c r="B24" s="77"/>
      <c r="C24" s="77"/>
    </row>
    <row r="25" spans="1:7" ht="23.25" customHeight="1">
      <c r="A25" s="79"/>
      <c r="B25" s="79"/>
      <c r="C25" s="79"/>
      <c r="D25" s="79"/>
      <c r="E25" s="79"/>
      <c r="F25" s="79"/>
      <c r="G25" s="79"/>
    </row>
  </sheetData>
  <sheetProtection/>
  <mergeCells count="4">
    <mergeCell ref="A7:G7"/>
    <mergeCell ref="A21:G21"/>
    <mergeCell ref="D13:E13"/>
    <mergeCell ref="D14:E14"/>
  </mergeCells>
  <printOptions/>
  <pageMargins left="0.58" right="0.75" top="1.31" bottom="1" header="0.5" footer="0.5"/>
  <pageSetup horizontalDpi="600" verticalDpi="600" orientation="portrait" paperSize="9" r:id="rId1"/>
  <headerFooter alignWithMargins="0">
    <oddHeader>&amp;C&amp;P페이지</oddHeader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:G1"/>
    </sheetView>
  </sheetViews>
  <sheetFormatPr defaultColWidth="10.28125" defaultRowHeight="22.5" customHeight="1"/>
  <cols>
    <col min="1" max="1" width="5.28125" style="236" customWidth="1"/>
    <col min="2" max="2" width="5.8515625" style="236" customWidth="1"/>
    <col min="3" max="3" width="19.8515625" style="236" customWidth="1"/>
    <col min="4" max="6" width="16.140625" style="236" customWidth="1"/>
    <col min="7" max="7" width="11.140625" style="236" customWidth="1"/>
    <col min="8" max="16384" width="10.28125" style="236" customWidth="1"/>
  </cols>
  <sheetData>
    <row r="1" spans="1:7" ht="27" customHeight="1" thickBot="1">
      <c r="A1" s="272" t="s">
        <v>5</v>
      </c>
      <c r="B1" s="273"/>
      <c r="C1" s="273"/>
      <c r="D1" s="273"/>
      <c r="E1" s="273"/>
      <c r="F1" s="273"/>
      <c r="G1" s="274"/>
    </row>
    <row r="2" ht="22.5" customHeight="1" thickBot="1">
      <c r="G2" s="237" t="s">
        <v>433</v>
      </c>
    </row>
    <row r="3" spans="1:7" ht="29.25" customHeight="1" thickBot="1">
      <c r="A3" s="238" t="s">
        <v>6</v>
      </c>
      <c r="B3" s="279" t="s">
        <v>7</v>
      </c>
      <c r="C3" s="279"/>
      <c r="D3" s="239" t="s">
        <v>8</v>
      </c>
      <c r="E3" s="240" t="s">
        <v>9</v>
      </c>
      <c r="F3" s="240" t="s">
        <v>10</v>
      </c>
      <c r="G3" s="241" t="s">
        <v>11</v>
      </c>
    </row>
    <row r="4" spans="1:7" ht="15" customHeight="1">
      <c r="A4" s="276" t="s">
        <v>432</v>
      </c>
      <c r="B4" s="275" t="s">
        <v>431</v>
      </c>
      <c r="C4" s="275"/>
      <c r="D4" s="242">
        <f>SUM(D5:D7)</f>
        <v>152272</v>
      </c>
      <c r="E4" s="242">
        <f>SUM(E5:E7)</f>
        <v>130513</v>
      </c>
      <c r="F4" s="243">
        <f>+D4-E4</f>
        <v>21759</v>
      </c>
      <c r="G4" s="244"/>
    </row>
    <row r="5" spans="1:7" ht="15" customHeight="1">
      <c r="A5" s="277"/>
      <c r="B5" s="268"/>
      <c r="C5" s="245" t="s">
        <v>430</v>
      </c>
      <c r="D5" s="246">
        <v>8000</v>
      </c>
      <c r="E5" s="246">
        <v>9000</v>
      </c>
      <c r="F5" s="247">
        <f>+D5-E5</f>
        <v>-1000</v>
      </c>
      <c r="G5" s="248"/>
    </row>
    <row r="6" spans="1:7" ht="15" customHeight="1">
      <c r="A6" s="277"/>
      <c r="B6" s="269"/>
      <c r="C6" s="245" t="s">
        <v>429</v>
      </c>
      <c r="D6" s="246">
        <v>144272</v>
      </c>
      <c r="E6" s="246">
        <v>121508</v>
      </c>
      <c r="F6" s="247">
        <f>+D6-E6</f>
        <v>22764</v>
      </c>
      <c r="G6" s="248"/>
    </row>
    <row r="7" spans="1:7" ht="15" customHeight="1">
      <c r="A7" s="277"/>
      <c r="B7" s="270"/>
      <c r="C7" s="245" t="s">
        <v>428</v>
      </c>
      <c r="D7" s="246">
        <v>0</v>
      </c>
      <c r="E7" s="246">
        <v>5</v>
      </c>
      <c r="F7" s="247">
        <f aca="true" t="shared" si="0" ref="F7:F13">+D7-E7</f>
        <v>-5</v>
      </c>
      <c r="G7" s="248"/>
    </row>
    <row r="8" spans="1:7" ht="15" customHeight="1">
      <c r="A8" s="277"/>
      <c r="B8" s="267" t="s">
        <v>427</v>
      </c>
      <c r="C8" s="267"/>
      <c r="D8" s="246">
        <f>SUM(D9:D13)</f>
        <v>289560</v>
      </c>
      <c r="E8" s="246">
        <f>SUM(E9:E13)</f>
        <v>363919</v>
      </c>
      <c r="F8" s="247">
        <f t="shared" si="0"/>
        <v>-74359</v>
      </c>
      <c r="G8" s="248"/>
    </row>
    <row r="9" spans="1:7" ht="15" customHeight="1">
      <c r="A9" s="277"/>
      <c r="B9" s="268"/>
      <c r="C9" s="245" t="s">
        <v>417</v>
      </c>
      <c r="D9" s="246">
        <v>31416</v>
      </c>
      <c r="E9" s="246">
        <v>25783</v>
      </c>
      <c r="F9" s="247">
        <f t="shared" si="0"/>
        <v>5633</v>
      </c>
      <c r="G9" s="248"/>
    </row>
    <row r="10" spans="1:7" ht="15" customHeight="1">
      <c r="A10" s="277"/>
      <c r="B10" s="269"/>
      <c r="C10" s="245" t="s">
        <v>434</v>
      </c>
      <c r="D10" s="246">
        <v>8638</v>
      </c>
      <c r="E10" s="246">
        <v>7995</v>
      </c>
      <c r="F10" s="247">
        <f t="shared" si="0"/>
        <v>643</v>
      </c>
      <c r="G10" s="248"/>
    </row>
    <row r="11" spans="1:7" ht="15" customHeight="1">
      <c r="A11" s="277"/>
      <c r="B11" s="269"/>
      <c r="C11" s="245" t="s">
        <v>435</v>
      </c>
      <c r="D11" s="246">
        <v>15408</v>
      </c>
      <c r="E11" s="246">
        <v>13773</v>
      </c>
      <c r="F11" s="247">
        <f t="shared" si="0"/>
        <v>1635</v>
      </c>
      <c r="G11" s="248"/>
    </row>
    <row r="12" spans="1:7" ht="15" customHeight="1">
      <c r="A12" s="277"/>
      <c r="B12" s="269"/>
      <c r="C12" s="245" t="s">
        <v>436</v>
      </c>
      <c r="D12" s="246">
        <v>18445</v>
      </c>
      <c r="E12" s="246">
        <v>36090</v>
      </c>
      <c r="F12" s="247">
        <f t="shared" si="0"/>
        <v>-17645</v>
      </c>
      <c r="G12" s="248"/>
    </row>
    <row r="13" spans="1:7" ht="15" customHeight="1">
      <c r="A13" s="277"/>
      <c r="B13" s="270"/>
      <c r="C13" s="245" t="s">
        <v>437</v>
      </c>
      <c r="D13" s="246">
        <v>215653</v>
      </c>
      <c r="E13" s="246">
        <v>280278</v>
      </c>
      <c r="F13" s="247">
        <f t="shared" si="0"/>
        <v>-64625</v>
      </c>
      <c r="G13" s="248"/>
    </row>
    <row r="14" spans="1:7" ht="15" customHeight="1">
      <c r="A14" s="277"/>
      <c r="B14" s="267" t="s">
        <v>426</v>
      </c>
      <c r="C14" s="267"/>
      <c r="D14" s="246">
        <f>SUM(D15:D15)</f>
        <v>642215</v>
      </c>
      <c r="E14" s="246">
        <f>SUM(E15:E15)</f>
        <v>592261</v>
      </c>
      <c r="F14" s="247">
        <f aca="true" t="shared" si="1" ref="F14:F22">+D14-E14</f>
        <v>49954</v>
      </c>
      <c r="G14" s="248"/>
    </row>
    <row r="15" spans="1:7" ht="15" customHeight="1">
      <c r="A15" s="277"/>
      <c r="B15" s="246"/>
      <c r="C15" s="245" t="s">
        <v>425</v>
      </c>
      <c r="D15" s="246">
        <v>642215</v>
      </c>
      <c r="E15" s="246">
        <v>592261</v>
      </c>
      <c r="F15" s="247">
        <f t="shared" si="1"/>
        <v>49954</v>
      </c>
      <c r="G15" s="248"/>
    </row>
    <row r="16" spans="1:7" ht="15" customHeight="1">
      <c r="A16" s="277"/>
      <c r="B16" s="246" t="s">
        <v>424</v>
      </c>
      <c r="C16" s="249"/>
      <c r="D16" s="246">
        <v>500</v>
      </c>
      <c r="E16" s="246">
        <v>418</v>
      </c>
      <c r="F16" s="247">
        <f t="shared" si="1"/>
        <v>82</v>
      </c>
      <c r="G16" s="248"/>
    </row>
    <row r="17" spans="1:7" ht="15" customHeight="1">
      <c r="A17" s="277"/>
      <c r="B17" s="246" t="s">
        <v>423</v>
      </c>
      <c r="C17" s="249"/>
      <c r="D17" s="246">
        <f>SUM(D18:D21)</f>
        <v>327216</v>
      </c>
      <c r="E17" s="246">
        <f>SUM(E18:E21)</f>
        <v>321118</v>
      </c>
      <c r="F17" s="247">
        <f t="shared" si="1"/>
        <v>6098</v>
      </c>
      <c r="G17" s="248"/>
    </row>
    <row r="18" spans="1:7" ht="15" customHeight="1">
      <c r="A18" s="277"/>
      <c r="B18" s="269"/>
      <c r="C18" s="245" t="s">
        <v>132</v>
      </c>
      <c r="D18" s="246">
        <v>124760</v>
      </c>
      <c r="E18" s="246">
        <v>116359</v>
      </c>
      <c r="F18" s="247">
        <f t="shared" si="1"/>
        <v>8401</v>
      </c>
      <c r="G18" s="248"/>
    </row>
    <row r="19" spans="1:7" ht="15" customHeight="1">
      <c r="A19" s="277"/>
      <c r="B19" s="269"/>
      <c r="C19" s="245" t="s">
        <v>82</v>
      </c>
      <c r="D19" s="246">
        <v>29940</v>
      </c>
      <c r="E19" s="246">
        <v>16789</v>
      </c>
      <c r="F19" s="247">
        <f t="shared" si="1"/>
        <v>13151</v>
      </c>
      <c r="G19" s="248"/>
    </row>
    <row r="20" spans="1:7" ht="15" customHeight="1">
      <c r="A20" s="277"/>
      <c r="B20" s="269"/>
      <c r="C20" s="245" t="s">
        <v>83</v>
      </c>
      <c r="D20" s="246">
        <v>45796</v>
      </c>
      <c r="E20" s="246">
        <v>47067</v>
      </c>
      <c r="F20" s="247">
        <f t="shared" si="1"/>
        <v>-1271</v>
      </c>
      <c r="G20" s="248"/>
    </row>
    <row r="21" spans="1:7" ht="15" customHeight="1">
      <c r="A21" s="277"/>
      <c r="B21" s="270"/>
      <c r="C21" s="245" t="s">
        <v>438</v>
      </c>
      <c r="D21" s="246">
        <v>126720</v>
      </c>
      <c r="E21" s="246">
        <v>140903</v>
      </c>
      <c r="F21" s="247">
        <f t="shared" si="1"/>
        <v>-14183</v>
      </c>
      <c r="G21" s="248"/>
    </row>
    <row r="22" spans="1:7" ht="15" customHeight="1">
      <c r="A22" s="277"/>
      <c r="B22" s="246" t="s">
        <v>422</v>
      </c>
      <c r="C22" s="249"/>
      <c r="D22" s="246">
        <v>2530</v>
      </c>
      <c r="E22" s="246">
        <v>1587</v>
      </c>
      <c r="F22" s="247">
        <f t="shared" si="1"/>
        <v>943</v>
      </c>
      <c r="G22" s="248"/>
    </row>
    <row r="23" spans="1:7" ht="15" customHeight="1" thickBot="1">
      <c r="A23" s="278"/>
      <c r="B23" s="280" t="s">
        <v>406</v>
      </c>
      <c r="C23" s="280"/>
      <c r="D23" s="250">
        <f>SUM(D4,D8,D14,D16,D17,D22)</f>
        <v>1414293</v>
      </c>
      <c r="E23" s="251">
        <f>SUM(E4,E8,E14,E16,E17,E22)</f>
        <v>1409816</v>
      </c>
      <c r="F23" s="251">
        <f>SUM(F4,F8,F14,F16,F17,F22)</f>
        <v>4477</v>
      </c>
      <c r="G23" s="252"/>
    </row>
    <row r="24" spans="1:7" ht="15" customHeight="1">
      <c r="A24" s="281" t="s">
        <v>421</v>
      </c>
      <c r="B24" s="271" t="s">
        <v>420</v>
      </c>
      <c r="C24" s="271"/>
      <c r="D24" s="253">
        <f>SUM(D25:D30)</f>
        <v>775273</v>
      </c>
      <c r="E24" s="253">
        <f>SUM(E25:E30)</f>
        <v>724553</v>
      </c>
      <c r="F24" s="253">
        <f aca="true" t="shared" si="2" ref="F24:F46">+D24-E24</f>
        <v>50720</v>
      </c>
      <c r="G24" s="254"/>
    </row>
    <row r="25" spans="1:7" ht="15" customHeight="1">
      <c r="A25" s="277"/>
      <c r="B25" s="268"/>
      <c r="C25" s="245" t="s">
        <v>419</v>
      </c>
      <c r="D25" s="255">
        <v>291899</v>
      </c>
      <c r="E25" s="255">
        <v>273765</v>
      </c>
      <c r="F25" s="253">
        <f t="shared" si="2"/>
        <v>18134</v>
      </c>
      <c r="G25" s="248"/>
    </row>
    <row r="26" spans="1:7" ht="15" customHeight="1">
      <c r="A26" s="277"/>
      <c r="B26" s="269"/>
      <c r="C26" s="245" t="s">
        <v>439</v>
      </c>
      <c r="D26" s="246">
        <v>26902</v>
      </c>
      <c r="E26" s="255">
        <v>25964</v>
      </c>
      <c r="F26" s="253">
        <f t="shared" si="2"/>
        <v>938</v>
      </c>
      <c r="G26" s="248"/>
    </row>
    <row r="27" spans="1:7" ht="15" customHeight="1">
      <c r="A27" s="277"/>
      <c r="B27" s="269"/>
      <c r="C27" s="245" t="s">
        <v>440</v>
      </c>
      <c r="D27" s="246">
        <v>189044</v>
      </c>
      <c r="E27" s="255">
        <v>177011</v>
      </c>
      <c r="F27" s="253">
        <f t="shared" si="2"/>
        <v>12033</v>
      </c>
      <c r="G27" s="248"/>
    </row>
    <row r="28" spans="1:7" ht="15" customHeight="1">
      <c r="A28" s="277"/>
      <c r="B28" s="269"/>
      <c r="C28" s="245" t="s">
        <v>418</v>
      </c>
      <c r="D28" s="246">
        <v>25042</v>
      </c>
      <c r="E28" s="255">
        <v>36094</v>
      </c>
      <c r="F28" s="253">
        <f t="shared" si="2"/>
        <v>-11052</v>
      </c>
      <c r="G28" s="248"/>
    </row>
    <row r="29" spans="1:7" ht="15" customHeight="1">
      <c r="A29" s="277"/>
      <c r="B29" s="269"/>
      <c r="C29" s="245" t="s">
        <v>441</v>
      </c>
      <c r="D29" s="246">
        <v>55462</v>
      </c>
      <c r="E29" s="255">
        <v>47666</v>
      </c>
      <c r="F29" s="246">
        <f t="shared" si="2"/>
        <v>7796</v>
      </c>
      <c r="G29" s="248"/>
    </row>
    <row r="30" spans="1:7" ht="15" customHeight="1">
      <c r="A30" s="277"/>
      <c r="B30" s="269"/>
      <c r="C30" s="245" t="s">
        <v>442</v>
      </c>
      <c r="D30" s="246">
        <v>186924</v>
      </c>
      <c r="E30" s="255">
        <f>161833+2220</f>
        <v>164053</v>
      </c>
      <c r="F30" s="246">
        <f t="shared" si="2"/>
        <v>22871</v>
      </c>
      <c r="G30" s="248"/>
    </row>
    <row r="31" spans="1:7" ht="15" customHeight="1">
      <c r="A31" s="277"/>
      <c r="B31" s="267" t="s">
        <v>416</v>
      </c>
      <c r="C31" s="267"/>
      <c r="D31" s="246">
        <f>SUM(D32:D34)</f>
        <v>310104</v>
      </c>
      <c r="E31" s="246">
        <f>SUM(E32:E34)</f>
        <v>362683</v>
      </c>
      <c r="F31" s="246">
        <f t="shared" si="2"/>
        <v>-52579</v>
      </c>
      <c r="G31" s="248"/>
    </row>
    <row r="32" spans="1:7" ht="15" customHeight="1">
      <c r="A32" s="277"/>
      <c r="B32" s="267"/>
      <c r="C32" s="245" t="s">
        <v>415</v>
      </c>
      <c r="D32" s="246">
        <v>277052</v>
      </c>
      <c r="E32" s="246">
        <v>322247</v>
      </c>
      <c r="F32" s="246">
        <f t="shared" si="2"/>
        <v>-45195</v>
      </c>
      <c r="G32" s="248"/>
    </row>
    <row r="33" spans="1:7" ht="15" customHeight="1">
      <c r="A33" s="277"/>
      <c r="B33" s="267"/>
      <c r="C33" s="245" t="s">
        <v>444</v>
      </c>
      <c r="D33" s="246">
        <v>32048</v>
      </c>
      <c r="E33" s="246">
        <f>40141-636</f>
        <v>39505</v>
      </c>
      <c r="F33" s="246">
        <f t="shared" si="2"/>
        <v>-7457</v>
      </c>
      <c r="G33" s="248"/>
    </row>
    <row r="34" spans="1:7" ht="15" customHeight="1">
      <c r="A34" s="277"/>
      <c r="B34" s="267"/>
      <c r="C34" s="245" t="s">
        <v>443</v>
      </c>
      <c r="D34" s="246">
        <v>1004</v>
      </c>
      <c r="E34" s="246">
        <v>931</v>
      </c>
      <c r="F34" s="246">
        <f t="shared" si="2"/>
        <v>73</v>
      </c>
      <c r="G34" s="248"/>
    </row>
    <row r="35" spans="1:7" ht="15" customHeight="1">
      <c r="A35" s="277"/>
      <c r="B35" s="267" t="s">
        <v>414</v>
      </c>
      <c r="C35" s="267"/>
      <c r="D35" s="246">
        <f>D36</f>
        <v>0</v>
      </c>
      <c r="E35" s="246">
        <f>E36</f>
        <v>0</v>
      </c>
      <c r="F35" s="246">
        <f t="shared" si="2"/>
        <v>0</v>
      </c>
      <c r="G35" s="248"/>
    </row>
    <row r="36" spans="1:7" ht="15" customHeight="1">
      <c r="A36" s="277"/>
      <c r="B36" s="246"/>
      <c r="C36" s="245" t="s">
        <v>413</v>
      </c>
      <c r="D36" s="246">
        <f>+'[2]세출'!D86</f>
        <v>0</v>
      </c>
      <c r="E36" s="246">
        <f>+'[2]세출'!E86</f>
        <v>0</v>
      </c>
      <c r="F36" s="246">
        <f t="shared" si="2"/>
        <v>0</v>
      </c>
      <c r="G36" s="248"/>
    </row>
    <row r="37" spans="1:7" ht="15" customHeight="1">
      <c r="A37" s="277"/>
      <c r="B37" s="267" t="s">
        <v>412</v>
      </c>
      <c r="C37" s="267"/>
      <c r="D37" s="246">
        <f>SUM(D38:D40)</f>
        <v>700</v>
      </c>
      <c r="E37" s="246">
        <f>SUM(E38:E40)</f>
        <v>1462</v>
      </c>
      <c r="F37" s="246">
        <f t="shared" si="2"/>
        <v>-762</v>
      </c>
      <c r="G37" s="248"/>
    </row>
    <row r="38" spans="1:7" ht="15" customHeight="1">
      <c r="A38" s="277"/>
      <c r="B38" s="268"/>
      <c r="C38" s="245" t="s">
        <v>411</v>
      </c>
      <c r="D38" s="246">
        <v>700</v>
      </c>
      <c r="E38" s="246">
        <v>502</v>
      </c>
      <c r="F38" s="246">
        <f t="shared" si="2"/>
        <v>198</v>
      </c>
      <c r="G38" s="248"/>
    </row>
    <row r="39" spans="1:7" ht="15" customHeight="1">
      <c r="A39" s="277"/>
      <c r="B39" s="269"/>
      <c r="C39" s="245" t="s">
        <v>410</v>
      </c>
      <c r="D39" s="246">
        <v>0</v>
      </c>
      <c r="E39" s="246">
        <v>960</v>
      </c>
      <c r="F39" s="246">
        <f t="shared" si="2"/>
        <v>-960</v>
      </c>
      <c r="G39" s="248"/>
    </row>
    <row r="40" spans="1:7" ht="15" customHeight="1">
      <c r="A40" s="277"/>
      <c r="B40" s="270"/>
      <c r="C40" s="245" t="s">
        <v>409</v>
      </c>
      <c r="D40" s="246">
        <v>0</v>
      </c>
      <c r="E40" s="246">
        <v>0</v>
      </c>
      <c r="F40" s="246">
        <f t="shared" si="2"/>
        <v>0</v>
      </c>
      <c r="G40" s="248"/>
    </row>
    <row r="41" spans="1:7" ht="15" customHeight="1">
      <c r="A41" s="277"/>
      <c r="B41" s="267" t="s">
        <v>408</v>
      </c>
      <c r="C41" s="267"/>
      <c r="D41" s="246">
        <v>1000</v>
      </c>
      <c r="E41" s="246">
        <v>0</v>
      </c>
      <c r="F41" s="246">
        <f t="shared" si="2"/>
        <v>1000</v>
      </c>
      <c r="G41" s="248"/>
    </row>
    <row r="42" spans="1:7" ht="15" customHeight="1">
      <c r="A42" s="277"/>
      <c r="B42" s="267" t="s">
        <v>407</v>
      </c>
      <c r="C42" s="267"/>
      <c r="D42" s="246">
        <f>SUM(D43:D46)</f>
        <v>327216</v>
      </c>
      <c r="E42" s="246">
        <f>SUM(E43:E46)</f>
        <v>321118</v>
      </c>
      <c r="F42" s="246">
        <f t="shared" si="2"/>
        <v>6098</v>
      </c>
      <c r="G42" s="248"/>
    </row>
    <row r="43" spans="1:7" ht="15" customHeight="1">
      <c r="A43" s="277"/>
      <c r="B43" s="268"/>
      <c r="C43" s="245" t="s">
        <v>132</v>
      </c>
      <c r="D43" s="246">
        <v>124760</v>
      </c>
      <c r="E43" s="246">
        <v>116359</v>
      </c>
      <c r="F43" s="246">
        <f t="shared" si="2"/>
        <v>8401</v>
      </c>
      <c r="G43" s="248"/>
    </row>
    <row r="44" spans="1:7" ht="15" customHeight="1">
      <c r="A44" s="277"/>
      <c r="B44" s="269"/>
      <c r="C44" s="245" t="s">
        <v>82</v>
      </c>
      <c r="D44" s="246">
        <v>29940</v>
      </c>
      <c r="E44" s="246">
        <v>16789</v>
      </c>
      <c r="F44" s="246">
        <f t="shared" si="2"/>
        <v>13151</v>
      </c>
      <c r="G44" s="248"/>
    </row>
    <row r="45" spans="1:7" ht="15" customHeight="1">
      <c r="A45" s="277"/>
      <c r="B45" s="269"/>
      <c r="C45" s="245" t="s">
        <v>83</v>
      </c>
      <c r="D45" s="246">
        <v>45796</v>
      </c>
      <c r="E45" s="246">
        <v>47067</v>
      </c>
      <c r="F45" s="246">
        <f t="shared" si="2"/>
        <v>-1271</v>
      </c>
      <c r="G45" s="248"/>
    </row>
    <row r="46" spans="1:7" ht="15" customHeight="1">
      <c r="A46" s="277"/>
      <c r="B46" s="270"/>
      <c r="C46" s="245" t="s">
        <v>438</v>
      </c>
      <c r="D46" s="246">
        <v>126720</v>
      </c>
      <c r="E46" s="246">
        <v>140903</v>
      </c>
      <c r="F46" s="246">
        <f t="shared" si="2"/>
        <v>-14183</v>
      </c>
      <c r="G46" s="248"/>
    </row>
    <row r="47" spans="1:7" ht="15" customHeight="1" thickBot="1">
      <c r="A47" s="278"/>
      <c r="B47" s="280" t="s">
        <v>406</v>
      </c>
      <c r="C47" s="280"/>
      <c r="D47" s="250">
        <f>D24+D31+D35+D37+D42+D41</f>
        <v>1414293</v>
      </c>
      <c r="E47" s="250">
        <f>E24+E31+E35+E37+E42+E41</f>
        <v>1409816</v>
      </c>
      <c r="F47" s="250">
        <f>F24+F31+F35+F37+F42+F41</f>
        <v>4477</v>
      </c>
      <c r="G47" s="252"/>
    </row>
    <row r="48" ht="9.75" customHeight="1">
      <c r="F48" s="236">
        <f>D23-D47</f>
        <v>0</v>
      </c>
    </row>
    <row r="49" ht="18.75" customHeight="1">
      <c r="A49" s="256" t="s">
        <v>405</v>
      </c>
    </row>
  </sheetData>
  <sheetProtection/>
  <mergeCells count="22">
    <mergeCell ref="A24:A47"/>
    <mergeCell ref="B41:C41"/>
    <mergeCell ref="B35:C35"/>
    <mergeCell ref="B38:B40"/>
    <mergeCell ref="B43:B46"/>
    <mergeCell ref="B47:C47"/>
    <mergeCell ref="B37:C37"/>
    <mergeCell ref="B42:C42"/>
    <mergeCell ref="A1:G1"/>
    <mergeCell ref="B4:C4"/>
    <mergeCell ref="A4:A23"/>
    <mergeCell ref="B14:C14"/>
    <mergeCell ref="B3:C3"/>
    <mergeCell ref="B23:C23"/>
    <mergeCell ref="B9:B13"/>
    <mergeCell ref="B32:B34"/>
    <mergeCell ref="B31:C31"/>
    <mergeCell ref="B5:B7"/>
    <mergeCell ref="B18:B21"/>
    <mergeCell ref="B8:C8"/>
    <mergeCell ref="B24:C24"/>
    <mergeCell ref="B25:B30"/>
  </mergeCells>
  <printOptions horizontalCentered="1"/>
  <pageMargins left="0.3937007874015748" right="0.3937007874015748" top="0.7480314960629921" bottom="0.5118110236220472" header="0.6299212598425197" footer="0.3937007874015748"/>
  <pageSetup fitToHeight="0" horizontalDpi="600" verticalDpi="600" orientation="portrait" paperSize="9" scale="95" r:id="rId3"/>
  <headerFooter alignWithMargins="0">
    <oddFooter>&amp;L&amp;8&amp;F/&amp;A&amp;C&amp;8-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="95" zoomScaleNormal="95" zoomScalePageLayoutView="0" workbookViewId="0" topLeftCell="A1">
      <pane ySplit="5" topLeftCell="A24" activePane="bottomLeft" state="frozen"/>
      <selection pane="topLeft" activeCell="G102" sqref="G102"/>
      <selection pane="bottomLeft" activeCell="A1" sqref="A1:I1"/>
    </sheetView>
  </sheetViews>
  <sheetFormatPr defaultColWidth="10.28125" defaultRowHeight="18" customHeight="1"/>
  <cols>
    <col min="1" max="2" width="3.00390625" style="4" customWidth="1"/>
    <col min="3" max="3" width="22.8515625" style="4" customWidth="1"/>
    <col min="4" max="6" width="13.28125" style="4" customWidth="1"/>
    <col min="7" max="7" width="48.57421875" style="4" customWidth="1"/>
    <col min="8" max="8" width="2.00390625" style="4" customWidth="1"/>
    <col min="9" max="9" width="14.421875" style="28" customWidth="1"/>
    <col min="10" max="10" width="13.140625" style="4" customWidth="1"/>
    <col min="11" max="16384" width="10.28125" style="4" customWidth="1"/>
  </cols>
  <sheetData>
    <row r="1" spans="1:9" ht="29.25" customHeight="1">
      <c r="A1" s="282" t="s">
        <v>12</v>
      </c>
      <c r="B1" s="282"/>
      <c r="C1" s="282"/>
      <c r="D1" s="282"/>
      <c r="E1" s="282"/>
      <c r="F1" s="282"/>
      <c r="G1" s="282"/>
      <c r="H1" s="282"/>
      <c r="I1" s="282"/>
    </row>
    <row r="2" spans="1:9" ht="12">
      <c r="A2" s="5" t="s">
        <v>13</v>
      </c>
      <c r="B2" s="6"/>
      <c r="C2" s="6"/>
      <c r="D2" s="6"/>
      <c r="E2" s="6"/>
      <c r="F2" s="6"/>
      <c r="G2" s="6"/>
      <c r="H2" s="6"/>
      <c r="I2" s="7"/>
    </row>
    <row r="3" ht="12">
      <c r="I3" s="8" t="s">
        <v>14</v>
      </c>
    </row>
    <row r="4" spans="1:9" ht="18" customHeight="1">
      <c r="A4" s="283" t="s">
        <v>15</v>
      </c>
      <c r="B4" s="284"/>
      <c r="C4" s="285"/>
      <c r="D4" s="286" t="s">
        <v>16</v>
      </c>
      <c r="E4" s="288" t="s">
        <v>17</v>
      </c>
      <c r="F4" s="288" t="s">
        <v>18</v>
      </c>
      <c r="G4" s="286" t="s">
        <v>19</v>
      </c>
      <c r="H4" s="286"/>
      <c r="I4" s="290"/>
    </row>
    <row r="5" spans="1:9" ht="18" customHeight="1">
      <c r="A5" s="9" t="s">
        <v>20</v>
      </c>
      <c r="B5" s="10" t="s">
        <v>21</v>
      </c>
      <c r="C5" s="10" t="s">
        <v>22</v>
      </c>
      <c r="D5" s="287"/>
      <c r="E5" s="289"/>
      <c r="F5" s="289"/>
      <c r="G5" s="287"/>
      <c r="H5" s="287"/>
      <c r="I5" s="291"/>
    </row>
    <row r="6" spans="1:9" ht="18" customHeight="1">
      <c r="A6" s="292" t="s">
        <v>55</v>
      </c>
      <c r="B6" s="293"/>
      <c r="C6" s="294"/>
      <c r="D6" s="125">
        <f>SUM(D7)</f>
        <v>152272</v>
      </c>
      <c r="E6" s="125">
        <f>SUM(E7)</f>
        <v>130513</v>
      </c>
      <c r="F6" s="125">
        <f>SUM(F7)</f>
        <v>21759</v>
      </c>
      <c r="G6" s="126"/>
      <c r="H6" s="127"/>
      <c r="I6" s="128"/>
    </row>
    <row r="7" spans="1:9" ht="18" customHeight="1">
      <c r="A7" s="295"/>
      <c r="B7" s="298" t="s">
        <v>56</v>
      </c>
      <c r="C7" s="299"/>
      <c r="D7" s="129">
        <f>SUM(D8,D18,D12)</f>
        <v>152272</v>
      </c>
      <c r="E7" s="129">
        <f>SUM(E8,E18,E12)</f>
        <v>130513</v>
      </c>
      <c r="F7" s="129">
        <f>SUM(F8,F18,F12)</f>
        <v>21759</v>
      </c>
      <c r="G7" s="130"/>
      <c r="H7" s="131"/>
      <c r="I7" s="132"/>
    </row>
    <row r="8" spans="1:9" ht="18" customHeight="1">
      <c r="A8" s="296"/>
      <c r="B8" s="300"/>
      <c r="C8" s="15" t="s">
        <v>57</v>
      </c>
      <c r="D8" s="14">
        <v>8000</v>
      </c>
      <c r="E8" s="14">
        <v>9000</v>
      </c>
      <c r="F8" s="14">
        <f>D8-E8</f>
        <v>-1000</v>
      </c>
      <c r="G8" s="16"/>
      <c r="H8" s="17"/>
      <c r="I8" s="18"/>
    </row>
    <row r="9" spans="1:9" ht="18" customHeight="1">
      <c r="A9" s="296"/>
      <c r="B9" s="301"/>
      <c r="C9" s="302"/>
      <c r="D9" s="19"/>
      <c r="E9" s="19"/>
      <c r="F9" s="19"/>
      <c r="G9" s="21" t="s">
        <v>58</v>
      </c>
      <c r="H9" s="22"/>
      <c r="I9" s="23"/>
    </row>
    <row r="10" spans="1:9" ht="18" customHeight="1">
      <c r="A10" s="296"/>
      <c r="B10" s="301"/>
      <c r="C10" s="302"/>
      <c r="D10" s="19"/>
      <c r="E10" s="19"/>
      <c r="F10" s="19"/>
      <c r="G10" s="53" t="s">
        <v>494</v>
      </c>
      <c r="H10" s="22" t="s">
        <v>38</v>
      </c>
      <c r="I10" s="23">
        <v>8000000</v>
      </c>
    </row>
    <row r="11" spans="1:9" ht="18" customHeight="1">
      <c r="A11" s="296"/>
      <c r="B11" s="301"/>
      <c r="C11" s="303"/>
      <c r="D11" s="24"/>
      <c r="E11" s="24"/>
      <c r="F11" s="24"/>
      <c r="G11" s="57" t="s">
        <v>23</v>
      </c>
      <c r="H11" s="12"/>
      <c r="I11" s="58">
        <f>SUM(I9:I10)</f>
        <v>8000000</v>
      </c>
    </row>
    <row r="12" spans="1:9" ht="18" customHeight="1">
      <c r="A12" s="296"/>
      <c r="B12" s="301"/>
      <c r="C12" s="15" t="s">
        <v>59</v>
      </c>
      <c r="D12" s="14">
        <v>144272</v>
      </c>
      <c r="E12" s="14">
        <v>121508</v>
      </c>
      <c r="F12" s="14">
        <f>D12-E12</f>
        <v>22764</v>
      </c>
      <c r="G12" s="16"/>
      <c r="H12" s="17"/>
      <c r="I12" s="18"/>
    </row>
    <row r="13" spans="1:9" ht="18" customHeight="1">
      <c r="A13" s="296"/>
      <c r="B13" s="301"/>
      <c r="C13" s="20"/>
      <c r="D13" s="19"/>
      <c r="E13" s="19"/>
      <c r="F13" s="19"/>
      <c r="G13" s="93" t="s">
        <v>125</v>
      </c>
      <c r="H13" s="22"/>
      <c r="I13" s="23"/>
    </row>
    <row r="14" spans="1:9" ht="18" customHeight="1">
      <c r="A14" s="296"/>
      <c r="B14" s="301"/>
      <c r="C14" s="20"/>
      <c r="D14" s="19"/>
      <c r="E14" s="19"/>
      <c r="F14" s="19"/>
      <c r="G14" s="53" t="s">
        <v>525</v>
      </c>
      <c r="H14" s="22" t="s">
        <v>38</v>
      </c>
      <c r="I14" s="23">
        <v>144272000</v>
      </c>
    </row>
    <row r="15" spans="1:9" ht="18" customHeight="1">
      <c r="A15" s="296"/>
      <c r="B15" s="301"/>
      <c r="C15" s="20"/>
      <c r="D15" s="19"/>
      <c r="E15" s="19"/>
      <c r="F15" s="19"/>
      <c r="G15" s="93" t="s">
        <v>126</v>
      </c>
      <c r="H15" s="22"/>
      <c r="I15" s="23"/>
    </row>
    <row r="16" spans="1:9" ht="18" customHeight="1">
      <c r="A16" s="296"/>
      <c r="B16" s="301"/>
      <c r="C16" s="20"/>
      <c r="D16" s="19"/>
      <c r="E16" s="19"/>
      <c r="F16" s="19"/>
      <c r="G16" s="53"/>
      <c r="H16" s="22" t="s">
        <v>38</v>
      </c>
      <c r="I16" s="23"/>
    </row>
    <row r="17" spans="1:9" ht="18" customHeight="1">
      <c r="A17" s="296"/>
      <c r="B17" s="301"/>
      <c r="C17" s="19"/>
      <c r="D17" s="19"/>
      <c r="E17" s="19"/>
      <c r="F17" s="19"/>
      <c r="G17" s="84" t="s">
        <v>23</v>
      </c>
      <c r="H17" s="17"/>
      <c r="I17" s="85">
        <f>I14+I16</f>
        <v>144272000</v>
      </c>
    </row>
    <row r="18" spans="1:9" ht="18" customHeight="1">
      <c r="A18" s="296"/>
      <c r="B18" s="301"/>
      <c r="C18" s="15" t="s">
        <v>61</v>
      </c>
      <c r="D18" s="14">
        <f>INT(I21/1000)</f>
        <v>0</v>
      </c>
      <c r="E18" s="14">
        <v>5</v>
      </c>
      <c r="F18" s="14">
        <f>D18-E18</f>
        <v>-5</v>
      </c>
      <c r="G18" s="16"/>
      <c r="H18" s="17"/>
      <c r="I18" s="18"/>
    </row>
    <row r="19" spans="1:9" ht="18" customHeight="1">
      <c r="A19" s="296"/>
      <c r="B19" s="301"/>
      <c r="C19" s="302"/>
      <c r="D19" s="19"/>
      <c r="E19" s="19"/>
      <c r="F19" s="19"/>
      <c r="G19" s="21" t="s">
        <v>60</v>
      </c>
      <c r="H19" s="22"/>
      <c r="I19" s="23"/>
    </row>
    <row r="20" spans="1:9" ht="18" customHeight="1">
      <c r="A20" s="296"/>
      <c r="B20" s="301"/>
      <c r="C20" s="302"/>
      <c r="D20" s="19"/>
      <c r="E20" s="19"/>
      <c r="F20" s="19"/>
      <c r="G20" s="53" t="s">
        <v>133</v>
      </c>
      <c r="H20" s="22" t="s">
        <v>38</v>
      </c>
      <c r="I20" s="23">
        <v>0</v>
      </c>
    </row>
    <row r="21" spans="1:9" ht="18" customHeight="1">
      <c r="A21" s="297"/>
      <c r="B21" s="26"/>
      <c r="C21" s="304"/>
      <c r="D21" s="26"/>
      <c r="E21" s="26"/>
      <c r="F21" s="26"/>
      <c r="G21" s="65" t="s">
        <v>23</v>
      </c>
      <c r="H21" s="55"/>
      <c r="I21" s="66">
        <f>SUM(I19:I20)</f>
        <v>0</v>
      </c>
    </row>
    <row r="22" spans="1:9" ht="18" customHeight="1">
      <c r="A22" s="292" t="s">
        <v>63</v>
      </c>
      <c r="B22" s="293"/>
      <c r="C22" s="294"/>
      <c r="D22" s="125">
        <f aca="true" t="shared" si="0" ref="D22:F23">SUM(D23)</f>
        <v>289560</v>
      </c>
      <c r="E22" s="125">
        <f t="shared" si="0"/>
        <v>363919</v>
      </c>
      <c r="F22" s="125">
        <f t="shared" si="0"/>
        <v>5633</v>
      </c>
      <c r="G22" s="126"/>
      <c r="H22" s="127"/>
      <c r="I22" s="128"/>
    </row>
    <row r="23" spans="1:9" ht="18" customHeight="1">
      <c r="A23" s="295"/>
      <c r="B23" s="298" t="s">
        <v>123</v>
      </c>
      <c r="C23" s="299"/>
      <c r="D23" s="129">
        <f>SUM(D24:D33)</f>
        <v>289560</v>
      </c>
      <c r="E23" s="129">
        <f>SUM(E24:E33)</f>
        <v>363919</v>
      </c>
      <c r="F23" s="129">
        <f t="shared" si="0"/>
        <v>5633</v>
      </c>
      <c r="G23" s="130"/>
      <c r="H23" s="131"/>
      <c r="I23" s="132"/>
    </row>
    <row r="24" spans="1:9" ht="18" customHeight="1">
      <c r="A24" s="296"/>
      <c r="B24" s="300"/>
      <c r="C24" s="15" t="s">
        <v>64</v>
      </c>
      <c r="D24" s="14">
        <v>31416</v>
      </c>
      <c r="E24" s="14">
        <v>25783</v>
      </c>
      <c r="F24" s="14">
        <f>D24-E24</f>
        <v>5633</v>
      </c>
      <c r="G24" s="21" t="s">
        <v>134</v>
      </c>
      <c r="H24" s="17"/>
      <c r="I24" s="18">
        <v>31416000</v>
      </c>
    </row>
    <row r="25" spans="1:9" ht="18" customHeight="1">
      <c r="A25" s="296"/>
      <c r="B25" s="301"/>
      <c r="C25" s="121"/>
      <c r="D25" s="24"/>
      <c r="E25" s="24"/>
      <c r="F25" s="24"/>
      <c r="G25" s="57" t="s">
        <v>23</v>
      </c>
      <c r="H25" s="12"/>
      <c r="I25" s="58">
        <f>I24</f>
        <v>31416000</v>
      </c>
    </row>
    <row r="26" spans="1:9" ht="18" customHeight="1">
      <c r="A26" s="193"/>
      <c r="B26" s="301"/>
      <c r="C26" s="194" t="s">
        <v>135</v>
      </c>
      <c r="D26" s="14">
        <f>INT(I27/1000)</f>
        <v>8638</v>
      </c>
      <c r="E26" s="14">
        <v>7995</v>
      </c>
      <c r="F26" s="14">
        <f>D26-E26</f>
        <v>643</v>
      </c>
      <c r="G26" s="21" t="s">
        <v>136</v>
      </c>
      <c r="H26" s="17"/>
      <c r="I26" s="18">
        <v>8638000</v>
      </c>
    </row>
    <row r="27" spans="1:9" ht="18" customHeight="1">
      <c r="A27" s="193"/>
      <c r="B27" s="301"/>
      <c r="C27" s="121"/>
      <c r="D27" s="24"/>
      <c r="E27" s="24"/>
      <c r="F27" s="24"/>
      <c r="G27" s="57" t="s">
        <v>23</v>
      </c>
      <c r="H27" s="12"/>
      <c r="I27" s="85">
        <f>I26</f>
        <v>8638000</v>
      </c>
    </row>
    <row r="28" spans="1:9" ht="18" customHeight="1">
      <c r="A28" s="193"/>
      <c r="B28" s="301"/>
      <c r="C28" s="194" t="s">
        <v>119</v>
      </c>
      <c r="D28" s="14">
        <f>INT(I29/1000)</f>
        <v>15408</v>
      </c>
      <c r="E28" s="14">
        <v>13773</v>
      </c>
      <c r="F28" s="14">
        <f>D28-E28</f>
        <v>1635</v>
      </c>
      <c r="G28" s="21" t="s">
        <v>137</v>
      </c>
      <c r="H28" s="17"/>
      <c r="I28" s="18">
        <v>15408000</v>
      </c>
    </row>
    <row r="29" spans="1:9" ht="18" customHeight="1">
      <c r="A29" s="193"/>
      <c r="B29" s="301"/>
      <c r="C29" s="121"/>
      <c r="D29" s="24"/>
      <c r="E29" s="24"/>
      <c r="F29" s="24"/>
      <c r="G29" s="57" t="s">
        <v>23</v>
      </c>
      <c r="H29" s="12"/>
      <c r="I29" s="85">
        <f>I28</f>
        <v>15408000</v>
      </c>
    </row>
    <row r="30" spans="1:9" ht="18" customHeight="1">
      <c r="A30" s="193"/>
      <c r="B30" s="301"/>
      <c r="C30" s="194" t="s">
        <v>138</v>
      </c>
      <c r="D30" s="14">
        <v>18445</v>
      </c>
      <c r="E30" s="14">
        <v>36090</v>
      </c>
      <c r="F30" s="14">
        <f>D30-E30</f>
        <v>-17645</v>
      </c>
      <c r="G30" s="93" t="s">
        <v>139</v>
      </c>
      <c r="H30" s="17"/>
      <c r="I30" s="18">
        <v>18445000</v>
      </c>
    </row>
    <row r="31" spans="1:9" ht="18" customHeight="1">
      <c r="A31" s="193"/>
      <c r="B31" s="301"/>
      <c r="C31" s="121"/>
      <c r="D31" s="24"/>
      <c r="E31" s="24"/>
      <c r="F31" s="24"/>
      <c r="G31" s="57" t="s">
        <v>23</v>
      </c>
      <c r="H31" s="12"/>
      <c r="I31" s="85">
        <f>I30</f>
        <v>18445000</v>
      </c>
    </row>
    <row r="32" spans="1:9" ht="18" customHeight="1">
      <c r="A32" s="193"/>
      <c r="B32" s="301"/>
      <c r="C32" s="194" t="s">
        <v>140</v>
      </c>
      <c r="D32" s="14">
        <v>215653</v>
      </c>
      <c r="E32" s="14">
        <v>280278</v>
      </c>
      <c r="F32" s="14">
        <f>D32-E32</f>
        <v>-64625</v>
      </c>
      <c r="G32" s="21" t="s">
        <v>141</v>
      </c>
      <c r="H32" s="17"/>
      <c r="I32" s="18">
        <v>215653000</v>
      </c>
    </row>
    <row r="33" spans="1:9" ht="18" customHeight="1">
      <c r="A33" s="193"/>
      <c r="B33" s="306"/>
      <c r="C33" s="121"/>
      <c r="D33" s="24"/>
      <c r="E33" s="24"/>
      <c r="F33" s="24"/>
      <c r="G33" s="57" t="s">
        <v>23</v>
      </c>
      <c r="H33" s="12"/>
      <c r="I33" s="66">
        <f>I32</f>
        <v>215653000</v>
      </c>
    </row>
    <row r="34" spans="1:9" ht="18" customHeight="1">
      <c r="A34" s="307" t="s">
        <v>65</v>
      </c>
      <c r="B34" s="308"/>
      <c r="C34" s="309"/>
      <c r="D34" s="125">
        <f>D35</f>
        <v>642215</v>
      </c>
      <c r="E34" s="125">
        <f>E35</f>
        <v>592261</v>
      </c>
      <c r="F34" s="125">
        <f>F35</f>
        <v>49954</v>
      </c>
      <c r="G34" s="126"/>
      <c r="H34" s="127"/>
      <c r="I34" s="128"/>
    </row>
    <row r="35" spans="1:9" ht="18" customHeight="1">
      <c r="A35" s="68"/>
      <c r="B35" s="129" t="s">
        <v>62</v>
      </c>
      <c r="C35" s="129"/>
      <c r="D35" s="129">
        <f>D46+D36</f>
        <v>642215</v>
      </c>
      <c r="E35" s="129">
        <f>E46+E36</f>
        <v>592261</v>
      </c>
      <c r="F35" s="129">
        <f>F46+F36</f>
        <v>49954</v>
      </c>
      <c r="G35" s="130"/>
      <c r="H35" s="131"/>
      <c r="I35" s="132"/>
    </row>
    <row r="36" spans="1:9" ht="18" customHeight="1">
      <c r="A36" s="319"/>
      <c r="B36" s="101"/>
      <c r="C36" s="87" t="s">
        <v>492</v>
      </c>
      <c r="D36" s="14">
        <v>568440</v>
      </c>
      <c r="E36" s="14">
        <v>515649</v>
      </c>
      <c r="F36" s="14">
        <f>D36-E36</f>
        <v>52791</v>
      </c>
      <c r="G36" s="16"/>
      <c r="H36" s="17"/>
      <c r="I36" s="124"/>
    </row>
    <row r="37" spans="1:9" ht="18" customHeight="1">
      <c r="A37" s="319"/>
      <c r="B37" s="101"/>
      <c r="C37" s="69"/>
      <c r="D37" s="19"/>
      <c r="E37" s="19"/>
      <c r="F37" s="19"/>
      <c r="G37" s="189" t="s">
        <v>331</v>
      </c>
      <c r="H37" s="27"/>
      <c r="I37" s="23"/>
    </row>
    <row r="38" spans="1:9" ht="18" customHeight="1">
      <c r="A38" s="319"/>
      <c r="B38" s="101"/>
      <c r="C38" s="69"/>
      <c r="D38" s="19"/>
      <c r="E38" s="19"/>
      <c r="F38" s="19"/>
      <c r="G38" s="195" t="s">
        <v>143</v>
      </c>
      <c r="H38" s="4" t="s">
        <v>38</v>
      </c>
      <c r="I38" s="196">
        <v>3000000</v>
      </c>
    </row>
    <row r="39" spans="1:9" ht="18" customHeight="1">
      <c r="A39" s="319"/>
      <c r="B39" s="101"/>
      <c r="C39" s="69"/>
      <c r="D39" s="19"/>
      <c r="E39" s="19"/>
      <c r="F39" s="19"/>
      <c r="G39" s="189" t="s">
        <v>332</v>
      </c>
      <c r="H39" s="27"/>
      <c r="I39" s="23"/>
    </row>
    <row r="40" spans="1:9" ht="18" customHeight="1">
      <c r="A40" s="319"/>
      <c r="B40" s="101"/>
      <c r="C40" s="69"/>
      <c r="D40" s="19"/>
      <c r="E40" s="19"/>
      <c r="F40" s="19"/>
      <c r="G40" s="195" t="s">
        <v>495</v>
      </c>
      <c r="H40" s="4" t="s">
        <v>38</v>
      </c>
      <c r="I40" s="196">
        <f>220000*172*12</f>
        <v>454080000</v>
      </c>
    </row>
    <row r="41" spans="1:9" ht="18" customHeight="1">
      <c r="A41" s="319"/>
      <c r="B41" s="101"/>
      <c r="C41" s="69"/>
      <c r="D41" s="19"/>
      <c r="E41" s="19"/>
      <c r="F41" s="19"/>
      <c r="G41" s="189" t="s">
        <v>460</v>
      </c>
      <c r="H41" s="27"/>
      <c r="I41" s="23"/>
    </row>
    <row r="42" spans="1:9" ht="18" customHeight="1">
      <c r="A42" s="319"/>
      <c r="B42" s="101"/>
      <c r="C42" s="69"/>
      <c r="D42" s="19"/>
      <c r="E42" s="19"/>
      <c r="F42" s="19"/>
      <c r="G42" s="195" t="s">
        <v>496</v>
      </c>
      <c r="H42" s="4" t="s">
        <v>38</v>
      </c>
      <c r="I42" s="196">
        <f>70000*104*12</f>
        <v>87360000</v>
      </c>
    </row>
    <row r="43" spans="1:9" ht="18" customHeight="1">
      <c r="A43" s="319"/>
      <c r="B43" s="101"/>
      <c r="C43" s="69"/>
      <c r="D43" s="19"/>
      <c r="E43" s="19"/>
      <c r="F43" s="19"/>
      <c r="G43" s="258" t="s">
        <v>498</v>
      </c>
      <c r="I43" s="196"/>
    </row>
    <row r="44" spans="1:9" ht="18" customHeight="1">
      <c r="A44" s="319"/>
      <c r="B44" s="101"/>
      <c r="C44" s="69"/>
      <c r="D44" s="19"/>
      <c r="E44" s="19"/>
      <c r="F44" s="19"/>
      <c r="G44" s="195" t="s">
        <v>533</v>
      </c>
      <c r="H44" s="234" t="s">
        <v>497</v>
      </c>
      <c r="I44" s="196">
        <v>24000000</v>
      </c>
    </row>
    <row r="45" spans="1:9" ht="18" customHeight="1">
      <c r="A45" s="320"/>
      <c r="B45" s="122"/>
      <c r="C45" s="123"/>
      <c r="D45" s="26"/>
      <c r="E45" s="26"/>
      <c r="F45" s="26"/>
      <c r="G45" s="57" t="s">
        <v>23</v>
      </c>
      <c r="H45" s="12"/>
      <c r="I45" s="85">
        <v>568440000</v>
      </c>
    </row>
    <row r="46" spans="1:9" ht="18" customHeight="1">
      <c r="A46" s="68"/>
      <c r="B46" s="300"/>
      <c r="C46" s="95" t="s">
        <v>493</v>
      </c>
      <c r="D46" s="87">
        <f>INT(I51/1000)</f>
        <v>73775</v>
      </c>
      <c r="E46" s="14">
        <v>76612</v>
      </c>
      <c r="F46" s="14">
        <f>+D46-E46</f>
        <v>-2837</v>
      </c>
      <c r="G46" s="16"/>
      <c r="H46" s="27"/>
      <c r="I46" s="18"/>
    </row>
    <row r="47" spans="1:9" ht="18" customHeight="1">
      <c r="A47" s="68"/>
      <c r="B47" s="301"/>
      <c r="C47" s="19"/>
      <c r="D47" s="19"/>
      <c r="E47" s="19"/>
      <c r="F47" s="19"/>
      <c r="G47" s="93" t="s">
        <v>142</v>
      </c>
      <c r="H47" s="27"/>
      <c r="I47" s="23"/>
    </row>
    <row r="48" spans="1:9" ht="18" customHeight="1">
      <c r="A48" s="68"/>
      <c r="B48" s="301"/>
      <c r="C48" s="19"/>
      <c r="D48" s="19"/>
      <c r="E48" s="19"/>
      <c r="F48" s="19"/>
      <c r="G48" s="185" t="s">
        <v>499</v>
      </c>
      <c r="H48" s="54" t="s">
        <v>38</v>
      </c>
      <c r="I48" s="23">
        <v>71775000</v>
      </c>
    </row>
    <row r="49" spans="1:9" ht="18" customHeight="1">
      <c r="A49" s="68"/>
      <c r="B49" s="301"/>
      <c r="C49" s="19"/>
      <c r="D49" s="19"/>
      <c r="E49" s="19"/>
      <c r="F49" s="19"/>
      <c r="G49" s="93" t="s">
        <v>458</v>
      </c>
      <c r="H49" s="27"/>
      <c r="I49" s="23"/>
    </row>
    <row r="50" spans="1:9" ht="18" customHeight="1">
      <c r="A50" s="68"/>
      <c r="B50" s="301"/>
      <c r="C50" s="19"/>
      <c r="D50" s="19"/>
      <c r="E50" s="19"/>
      <c r="F50" s="19"/>
      <c r="G50" s="185" t="s">
        <v>459</v>
      </c>
      <c r="H50" s="54" t="s">
        <v>38</v>
      </c>
      <c r="I50" s="23">
        <v>2000000</v>
      </c>
    </row>
    <row r="51" spans="1:9" ht="18" customHeight="1">
      <c r="A51" s="68"/>
      <c r="B51" s="301"/>
      <c r="C51" s="69"/>
      <c r="D51" s="19"/>
      <c r="E51" s="19"/>
      <c r="F51" s="19"/>
      <c r="G51" s="57" t="s">
        <v>23</v>
      </c>
      <c r="H51" s="12"/>
      <c r="I51" s="58">
        <f>SUM(I48:I50)</f>
        <v>73775000</v>
      </c>
    </row>
    <row r="52" spans="1:9" ht="18" customHeight="1">
      <c r="A52" s="307" t="s">
        <v>66</v>
      </c>
      <c r="B52" s="308"/>
      <c r="C52" s="309"/>
      <c r="D52" s="125">
        <f>D53</f>
        <v>500</v>
      </c>
      <c r="E52" s="125">
        <f>E53</f>
        <v>418</v>
      </c>
      <c r="F52" s="125">
        <f>F53</f>
        <v>82</v>
      </c>
      <c r="G52" s="126"/>
      <c r="H52" s="127"/>
      <c r="I52" s="128"/>
    </row>
    <row r="53" spans="1:9" ht="18" customHeight="1">
      <c r="A53" s="68"/>
      <c r="B53" s="129" t="s">
        <v>67</v>
      </c>
      <c r="C53" s="129"/>
      <c r="D53" s="129">
        <f>D54</f>
        <v>500</v>
      </c>
      <c r="E53" s="129">
        <f>SUM(E54:E57)</f>
        <v>418</v>
      </c>
      <c r="F53" s="129">
        <f>SUM(F54:F57)</f>
        <v>82</v>
      </c>
      <c r="G53" s="130"/>
      <c r="H53" s="131"/>
      <c r="I53" s="132"/>
    </row>
    <row r="54" spans="1:9" ht="18" customHeight="1">
      <c r="A54" s="68"/>
      <c r="B54" s="300"/>
      <c r="C54" s="14" t="s">
        <v>68</v>
      </c>
      <c r="D54" s="14">
        <v>500</v>
      </c>
      <c r="E54" s="14">
        <v>418</v>
      </c>
      <c r="F54" s="14">
        <f>+D54-E54</f>
        <v>82</v>
      </c>
      <c r="G54" s="16"/>
      <c r="H54" s="17"/>
      <c r="I54" s="18"/>
    </row>
    <row r="55" spans="1:9" ht="18" customHeight="1">
      <c r="A55" s="68"/>
      <c r="B55" s="301"/>
      <c r="C55" s="19"/>
      <c r="D55" s="19"/>
      <c r="E55" s="19"/>
      <c r="F55" s="19"/>
      <c r="G55" s="21" t="s">
        <v>69</v>
      </c>
      <c r="H55" s="27"/>
      <c r="I55" s="23"/>
    </row>
    <row r="56" spans="1:9" ht="18" customHeight="1">
      <c r="A56" s="68"/>
      <c r="B56" s="301"/>
      <c r="C56" s="19"/>
      <c r="D56" s="19"/>
      <c r="E56" s="19"/>
      <c r="F56" s="19"/>
      <c r="G56" s="56"/>
      <c r="H56" s="54" t="s">
        <v>38</v>
      </c>
      <c r="I56" s="23">
        <v>500000</v>
      </c>
    </row>
    <row r="57" spans="1:9" ht="18" customHeight="1">
      <c r="A57" s="68"/>
      <c r="B57" s="306"/>
      <c r="C57" s="69"/>
      <c r="D57" s="26"/>
      <c r="E57" s="26"/>
      <c r="F57" s="26"/>
      <c r="G57" s="65" t="s">
        <v>23</v>
      </c>
      <c r="H57" s="55"/>
      <c r="I57" s="66">
        <f>SUM(I55:I56)</f>
        <v>500000</v>
      </c>
    </row>
    <row r="58" spans="1:9" ht="18" customHeight="1">
      <c r="A58" s="307" t="s">
        <v>113</v>
      </c>
      <c r="B58" s="308"/>
      <c r="C58" s="309"/>
      <c r="D58" s="125">
        <f>D59</f>
        <v>327216</v>
      </c>
      <c r="E58" s="125">
        <f>E59</f>
        <v>321118</v>
      </c>
      <c r="F58" s="125">
        <f>F59</f>
        <v>-2303</v>
      </c>
      <c r="G58" s="126"/>
      <c r="H58" s="127"/>
      <c r="I58" s="128"/>
    </row>
    <row r="59" spans="1:9" ht="18" customHeight="1">
      <c r="A59" s="68"/>
      <c r="B59" s="129" t="s">
        <v>70</v>
      </c>
      <c r="C59" s="129"/>
      <c r="D59" s="129">
        <f>D60+D64+D68+D76</f>
        <v>327216</v>
      </c>
      <c r="E59" s="129">
        <f>E60+E64+E68+E76</f>
        <v>321118</v>
      </c>
      <c r="F59" s="129">
        <f>F64+F68+F76</f>
        <v>-2303</v>
      </c>
      <c r="G59" s="130"/>
      <c r="H59" s="131"/>
      <c r="I59" s="132"/>
    </row>
    <row r="60" spans="1:9" ht="18" customHeight="1">
      <c r="A60" s="68"/>
      <c r="B60" s="14"/>
      <c r="C60" s="95" t="s">
        <v>144</v>
      </c>
      <c r="D60" s="19">
        <f>INT(I63/1000)</f>
        <v>124760</v>
      </c>
      <c r="E60" s="19">
        <v>116359</v>
      </c>
      <c r="F60" s="19">
        <f>+D60-E60</f>
        <v>8401</v>
      </c>
      <c r="G60" s="21"/>
      <c r="H60" s="22"/>
      <c r="I60" s="23"/>
    </row>
    <row r="61" spans="1:9" ht="18" customHeight="1">
      <c r="A61" s="68"/>
      <c r="B61" s="19"/>
      <c r="C61" s="69"/>
      <c r="D61" s="19"/>
      <c r="E61" s="19"/>
      <c r="F61" s="19"/>
      <c r="G61" s="93" t="s">
        <v>507</v>
      </c>
      <c r="H61" s="54" t="s">
        <v>38</v>
      </c>
      <c r="I61" s="23">
        <v>37400000</v>
      </c>
    </row>
    <row r="62" spans="1:9" ht="18" customHeight="1">
      <c r="A62" s="68"/>
      <c r="B62" s="19"/>
      <c r="C62" s="69"/>
      <c r="D62" s="19"/>
      <c r="E62" s="19"/>
      <c r="F62" s="19"/>
      <c r="G62" s="93" t="s">
        <v>506</v>
      </c>
      <c r="H62" s="54" t="s">
        <v>38</v>
      </c>
      <c r="I62" s="23">
        <v>87360000</v>
      </c>
    </row>
    <row r="63" spans="1:9" ht="18" customHeight="1">
      <c r="A63" s="68"/>
      <c r="B63" s="19"/>
      <c r="C63" s="71"/>
      <c r="D63" s="24"/>
      <c r="E63" s="24"/>
      <c r="F63" s="24"/>
      <c r="G63" s="57" t="s">
        <v>23</v>
      </c>
      <c r="H63" s="12"/>
      <c r="I63" s="58">
        <f>SUM(I60:I62)</f>
        <v>124760000</v>
      </c>
    </row>
    <row r="64" spans="1:9" ht="18" customHeight="1">
      <c r="A64" s="319"/>
      <c r="B64" s="305"/>
      <c r="C64" s="95" t="s">
        <v>145</v>
      </c>
      <c r="D64" s="14">
        <f>INT(I67/1000)</f>
        <v>29940</v>
      </c>
      <c r="E64" s="14">
        <v>16789</v>
      </c>
      <c r="F64" s="14">
        <f>+D64-E64</f>
        <v>13151</v>
      </c>
      <c r="G64" s="16"/>
      <c r="H64" s="17"/>
      <c r="I64" s="18"/>
    </row>
    <row r="65" spans="1:9" ht="18" customHeight="1">
      <c r="A65" s="319"/>
      <c r="B65" s="305"/>
      <c r="C65" s="69"/>
      <c r="D65" s="19"/>
      <c r="E65" s="19"/>
      <c r="F65" s="19"/>
      <c r="G65" s="93" t="s">
        <v>504</v>
      </c>
      <c r="H65" s="197" t="s">
        <v>446</v>
      </c>
      <c r="I65" s="23">
        <v>23220000</v>
      </c>
    </row>
    <row r="66" spans="1:9" ht="18" customHeight="1">
      <c r="A66" s="319"/>
      <c r="B66" s="305"/>
      <c r="C66" s="69"/>
      <c r="D66" s="19"/>
      <c r="E66" s="19"/>
      <c r="F66" s="19"/>
      <c r="G66" s="93" t="s">
        <v>505</v>
      </c>
      <c r="H66" s="197" t="s">
        <v>152</v>
      </c>
      <c r="I66" s="23">
        <v>6720000</v>
      </c>
    </row>
    <row r="67" spans="1:9" ht="18" customHeight="1">
      <c r="A67" s="319"/>
      <c r="B67" s="305"/>
      <c r="C67" s="69"/>
      <c r="D67" s="24"/>
      <c r="E67" s="24"/>
      <c r="F67" s="24"/>
      <c r="G67" s="57" t="s">
        <v>23</v>
      </c>
      <c r="H67" s="12"/>
      <c r="I67" s="58">
        <f>SUM(I65:I66)</f>
        <v>29940000</v>
      </c>
    </row>
    <row r="68" spans="1:9" ht="18" customHeight="1">
      <c r="A68" s="319"/>
      <c r="B68" s="305"/>
      <c r="C68" s="95" t="s">
        <v>146</v>
      </c>
      <c r="D68" s="19">
        <f>INT(I75/1000)</f>
        <v>45796</v>
      </c>
      <c r="E68" s="19">
        <v>47067</v>
      </c>
      <c r="F68" s="19">
        <f>+D68-E68</f>
        <v>-1271</v>
      </c>
      <c r="G68" s="21"/>
      <c r="H68" s="22"/>
      <c r="I68" s="23"/>
    </row>
    <row r="69" spans="1:9" ht="18" customHeight="1">
      <c r="A69" s="319"/>
      <c r="B69" s="305"/>
      <c r="C69" s="69"/>
      <c r="D69" s="19"/>
      <c r="E69" s="19"/>
      <c r="F69" s="19"/>
      <c r="G69" s="21" t="s">
        <v>54</v>
      </c>
      <c r="H69" s="22"/>
      <c r="I69" s="40">
        <f>I71</f>
        <v>8988000</v>
      </c>
    </row>
    <row r="70" spans="1:9" ht="18" customHeight="1">
      <c r="A70" s="319"/>
      <c r="B70" s="305"/>
      <c r="C70" s="69"/>
      <c r="D70" s="19"/>
      <c r="E70" s="19"/>
      <c r="F70" s="19"/>
      <c r="G70" s="52" t="s">
        <v>49</v>
      </c>
      <c r="H70" s="22"/>
      <c r="I70" s="23"/>
    </row>
    <row r="71" spans="1:9" ht="18" customHeight="1">
      <c r="A71" s="319"/>
      <c r="B71" s="305"/>
      <c r="C71" s="69"/>
      <c r="D71" s="19"/>
      <c r="E71" s="19"/>
      <c r="F71" s="19"/>
      <c r="G71" s="53" t="s">
        <v>502</v>
      </c>
      <c r="H71" s="54" t="s">
        <v>38</v>
      </c>
      <c r="I71" s="23">
        <v>8988000</v>
      </c>
    </row>
    <row r="72" spans="1:9" ht="18" customHeight="1">
      <c r="A72" s="319"/>
      <c r="B72" s="305"/>
      <c r="C72" s="69"/>
      <c r="D72" s="19"/>
      <c r="E72" s="19"/>
      <c r="F72" s="19"/>
      <c r="G72" s="93" t="s">
        <v>148</v>
      </c>
      <c r="H72" s="54"/>
      <c r="I72" s="40">
        <f>SUM(I74)</f>
        <v>36808000</v>
      </c>
    </row>
    <row r="73" spans="1:9" ht="18" customHeight="1">
      <c r="A73" s="319"/>
      <c r="B73" s="305"/>
      <c r="C73" s="69"/>
      <c r="D73" s="19"/>
      <c r="E73" s="19"/>
      <c r="F73" s="19"/>
      <c r="G73" s="52" t="s">
        <v>147</v>
      </c>
      <c r="H73" s="22"/>
      <c r="I73" s="23"/>
    </row>
    <row r="74" spans="1:9" ht="15" customHeight="1">
      <c r="A74" s="319"/>
      <c r="B74" s="305"/>
      <c r="C74" s="69"/>
      <c r="D74" s="19"/>
      <c r="E74" s="19"/>
      <c r="F74" s="19"/>
      <c r="G74" s="53" t="s">
        <v>503</v>
      </c>
      <c r="H74" s="54" t="s">
        <v>38</v>
      </c>
      <c r="I74" s="23">
        <v>36808000</v>
      </c>
    </row>
    <row r="75" spans="1:9" ht="18" customHeight="1">
      <c r="A75" s="319"/>
      <c r="B75" s="305"/>
      <c r="C75" s="71"/>
      <c r="D75" s="24"/>
      <c r="E75" s="24"/>
      <c r="F75" s="24"/>
      <c r="G75" s="57" t="s">
        <v>23</v>
      </c>
      <c r="H75" s="12"/>
      <c r="I75" s="58">
        <f>I69+I72</f>
        <v>45796000</v>
      </c>
    </row>
    <row r="76" spans="1:9" ht="18" customHeight="1">
      <c r="A76" s="82"/>
      <c r="B76" s="83"/>
      <c r="C76" s="87" t="s">
        <v>149</v>
      </c>
      <c r="D76" s="19">
        <f>INT(I79/1000)</f>
        <v>126720</v>
      </c>
      <c r="E76" s="19">
        <v>140903</v>
      </c>
      <c r="F76" s="19">
        <f>+D76-E76</f>
        <v>-14183</v>
      </c>
      <c r="G76" s="21"/>
      <c r="H76" s="27"/>
      <c r="I76" s="23"/>
    </row>
    <row r="77" spans="1:9" ht="18" customHeight="1">
      <c r="A77" s="68"/>
      <c r="B77" s="19"/>
      <c r="C77" s="69"/>
      <c r="D77" s="19"/>
      <c r="E77" s="19"/>
      <c r="F77" s="19"/>
      <c r="G77" s="93" t="s">
        <v>501</v>
      </c>
      <c r="H77" s="54" t="s">
        <v>38</v>
      </c>
      <c r="I77" s="198">
        <v>106080000</v>
      </c>
    </row>
    <row r="78" spans="1:9" ht="18" customHeight="1">
      <c r="A78" s="68"/>
      <c r="B78" s="19"/>
      <c r="C78" s="69"/>
      <c r="D78" s="19"/>
      <c r="E78" s="19"/>
      <c r="F78" s="19"/>
      <c r="G78" s="93" t="s">
        <v>500</v>
      </c>
      <c r="H78" s="54" t="s">
        <v>38</v>
      </c>
      <c r="I78" s="198">
        <v>20640000</v>
      </c>
    </row>
    <row r="79" spans="1:9" ht="18" customHeight="1">
      <c r="A79" s="86"/>
      <c r="B79" s="83"/>
      <c r="C79" s="26"/>
      <c r="D79" s="24"/>
      <c r="E79" s="24"/>
      <c r="F79" s="24"/>
      <c r="G79" s="57" t="s">
        <v>23</v>
      </c>
      <c r="H79" s="12"/>
      <c r="I79" s="58">
        <f>SUM(I77:I78)</f>
        <v>126720000</v>
      </c>
    </row>
    <row r="80" spans="1:9" ht="18" customHeight="1">
      <c r="A80" s="307" t="s">
        <v>71</v>
      </c>
      <c r="B80" s="308"/>
      <c r="C80" s="309"/>
      <c r="D80" s="125">
        <f>SUM(D81+D85)</f>
        <v>2530</v>
      </c>
      <c r="E80" s="125">
        <f>SUM(E81+E85)</f>
        <v>1587</v>
      </c>
      <c r="F80" s="125">
        <f aca="true" t="shared" si="1" ref="D80:F81">SUM(F81)</f>
        <v>944</v>
      </c>
      <c r="G80" s="126"/>
      <c r="H80" s="127"/>
      <c r="I80" s="128"/>
    </row>
    <row r="81" spans="1:9" ht="18" customHeight="1">
      <c r="A81" s="310"/>
      <c r="B81" s="312" t="s">
        <v>72</v>
      </c>
      <c r="C81" s="313"/>
      <c r="D81" s="129">
        <f t="shared" si="1"/>
        <v>2230</v>
      </c>
      <c r="E81" s="129">
        <f t="shared" si="1"/>
        <v>1286</v>
      </c>
      <c r="F81" s="129">
        <f t="shared" si="1"/>
        <v>944</v>
      </c>
      <c r="G81" s="130"/>
      <c r="H81" s="131"/>
      <c r="I81" s="132"/>
    </row>
    <row r="82" spans="1:9" ht="18" customHeight="1">
      <c r="A82" s="311"/>
      <c r="B82" s="314" t="s">
        <v>334</v>
      </c>
      <c r="C82" s="15" t="s">
        <v>73</v>
      </c>
      <c r="D82" s="14">
        <v>2230</v>
      </c>
      <c r="E82" s="14">
        <v>1286</v>
      </c>
      <c r="F82" s="14">
        <f>+D82-E82</f>
        <v>944</v>
      </c>
      <c r="G82" s="16"/>
      <c r="H82" s="17"/>
      <c r="I82" s="18"/>
    </row>
    <row r="83" spans="1:9" ht="18" customHeight="1">
      <c r="A83" s="311"/>
      <c r="B83" s="315"/>
      <c r="C83" s="69"/>
      <c r="D83" s="19"/>
      <c r="E83" s="19"/>
      <c r="F83" s="19"/>
      <c r="G83" s="21" t="s">
        <v>74</v>
      </c>
      <c r="H83" s="22"/>
      <c r="I83" s="23"/>
    </row>
    <row r="84" spans="1:9" ht="18" customHeight="1">
      <c r="A84" s="311"/>
      <c r="B84" s="315"/>
      <c r="C84" s="69"/>
      <c r="D84" s="19"/>
      <c r="E84" s="19"/>
      <c r="F84" s="19"/>
      <c r="G84" s="53" t="s">
        <v>336</v>
      </c>
      <c r="H84" s="22" t="s">
        <v>38</v>
      </c>
      <c r="I84" s="23">
        <v>2230000</v>
      </c>
    </row>
    <row r="85" spans="1:9" ht="18" customHeight="1">
      <c r="A85" s="311"/>
      <c r="B85" s="315"/>
      <c r="C85" s="231" t="s">
        <v>333</v>
      </c>
      <c r="D85" s="129">
        <f>SUM(D86)</f>
        <v>300</v>
      </c>
      <c r="E85" s="129">
        <f>SUM(E86)</f>
        <v>301</v>
      </c>
      <c r="F85" s="129">
        <f>SUM(F86)</f>
        <v>-1</v>
      </c>
      <c r="G85" s="130"/>
      <c r="H85" s="131"/>
      <c r="I85" s="132"/>
    </row>
    <row r="86" spans="1:9" ht="18" customHeight="1">
      <c r="A86" s="311"/>
      <c r="B86" s="315"/>
      <c r="C86" s="194" t="s">
        <v>335</v>
      </c>
      <c r="D86" s="14">
        <v>300</v>
      </c>
      <c r="E86" s="14">
        <v>301</v>
      </c>
      <c r="F86" s="14">
        <f>+D86-E86</f>
        <v>-1</v>
      </c>
      <c r="G86" s="16"/>
      <c r="H86" s="17"/>
      <c r="I86" s="18"/>
    </row>
    <row r="87" spans="1:9" ht="18" customHeight="1">
      <c r="A87" s="311"/>
      <c r="B87" s="315"/>
      <c r="C87" s="69"/>
      <c r="D87" s="19"/>
      <c r="E87" s="19"/>
      <c r="F87" s="19"/>
      <c r="G87" s="93" t="s">
        <v>337</v>
      </c>
      <c r="H87" s="22"/>
      <c r="I87" s="23"/>
    </row>
    <row r="88" spans="1:9" ht="18" customHeight="1">
      <c r="A88" s="311"/>
      <c r="B88" s="315"/>
      <c r="C88" s="69"/>
      <c r="D88" s="19"/>
      <c r="E88" s="19"/>
      <c r="F88" s="19"/>
      <c r="G88" s="53" t="s">
        <v>53</v>
      </c>
      <c r="H88" s="197" t="s">
        <v>38</v>
      </c>
      <c r="I88" s="23">
        <v>300000</v>
      </c>
    </row>
    <row r="89" spans="1:9" ht="18" customHeight="1">
      <c r="A89" s="316" t="s">
        <v>25</v>
      </c>
      <c r="B89" s="317"/>
      <c r="C89" s="318"/>
      <c r="D89" s="176">
        <f>SUM(D80+D58+D52+D34+D22+D6)</f>
        <v>1414293</v>
      </c>
      <c r="E89" s="176">
        <f>SUM(E80+E58+E52+E34+E22+E6)</f>
        <v>1409816</v>
      </c>
      <c r="F89" s="176">
        <f>D89-E89</f>
        <v>4477</v>
      </c>
      <c r="G89" s="177"/>
      <c r="H89" s="178"/>
      <c r="I89" s="179"/>
    </row>
  </sheetData>
  <sheetProtection/>
  <mergeCells count="29">
    <mergeCell ref="A80:C80"/>
    <mergeCell ref="A81:A88"/>
    <mergeCell ref="B81:C81"/>
    <mergeCell ref="B82:B88"/>
    <mergeCell ref="A89:C89"/>
    <mergeCell ref="A36:A45"/>
    <mergeCell ref="A52:C52"/>
    <mergeCell ref="B54:B57"/>
    <mergeCell ref="A58:C58"/>
    <mergeCell ref="A64:A75"/>
    <mergeCell ref="B64:B75"/>
    <mergeCell ref="A22:C22"/>
    <mergeCell ref="A23:A25"/>
    <mergeCell ref="B23:C23"/>
    <mergeCell ref="B24:B33"/>
    <mergeCell ref="A34:C34"/>
    <mergeCell ref="B46:B51"/>
    <mergeCell ref="A6:C6"/>
    <mergeCell ref="A7:A21"/>
    <mergeCell ref="B7:C7"/>
    <mergeCell ref="B8:B20"/>
    <mergeCell ref="C9:C11"/>
    <mergeCell ref="C19:C21"/>
    <mergeCell ref="A1:I1"/>
    <mergeCell ref="A4:C4"/>
    <mergeCell ref="D4:D5"/>
    <mergeCell ref="E4:E5"/>
    <mergeCell ref="F4:F5"/>
    <mergeCell ref="G4:I5"/>
  </mergeCells>
  <printOptions horizontalCentered="1"/>
  <pageMargins left="0.3937007874015748" right="0.3937007874015748" top="0.7086614173228347" bottom="0.3937007874015748" header="0.5511811023622047" footer="0.2362204724409449"/>
  <pageSetup fitToHeight="0" fitToWidth="1" horizontalDpi="600" verticalDpi="600" orientation="portrait" paperSize="9" scale="67" r:id="rId3"/>
  <headerFooter alignWithMargins="0">
    <oddFooter>&amp;C&amp;8- &amp;P -</oddFooter>
  </headerFooter>
  <rowBreaks count="1" manualBreakCount="1">
    <brk id="57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0"/>
  <sheetViews>
    <sheetView showGridLines="0" zoomScalePageLayoutView="0" workbookViewId="0" topLeftCell="A1">
      <pane ySplit="4" topLeftCell="A5" activePane="bottomLeft" state="frozen"/>
      <selection pane="topLeft" activeCell="G102" sqref="G102"/>
      <selection pane="bottomLeft" activeCell="A1" sqref="A1"/>
    </sheetView>
  </sheetViews>
  <sheetFormatPr defaultColWidth="10.28125" defaultRowHeight="18" customHeight="1"/>
  <cols>
    <col min="1" max="2" width="3.00390625" style="4" customWidth="1"/>
    <col min="3" max="3" width="16.140625" style="4" customWidth="1"/>
    <col min="4" max="6" width="11.00390625" style="4" customWidth="1"/>
    <col min="7" max="7" width="22.7109375" style="28" customWidth="1"/>
    <col min="8" max="8" width="11.57421875" style="4" customWidth="1"/>
    <col min="9" max="9" width="3.00390625" style="4" customWidth="1"/>
    <col min="10" max="10" width="1.8515625" style="4" customWidth="1"/>
    <col min="11" max="11" width="5.28125" style="4" customWidth="1"/>
    <col min="12" max="12" width="4.7109375" style="50" customWidth="1"/>
    <col min="13" max="13" width="1.8515625" style="4" customWidth="1"/>
    <col min="14" max="14" width="5.00390625" style="4" customWidth="1"/>
    <col min="15" max="15" width="4.00390625" style="50" customWidth="1"/>
    <col min="16" max="16" width="2.00390625" style="4" customWidth="1"/>
    <col min="17" max="17" width="15.28125" style="64" customWidth="1"/>
    <col min="18" max="16384" width="10.28125" style="4" customWidth="1"/>
  </cols>
  <sheetData>
    <row r="1" spans="1:17" ht="21" customHeight="1">
      <c r="A1" s="5" t="s">
        <v>26</v>
      </c>
      <c r="B1" s="6"/>
      <c r="C1" s="6"/>
      <c r="D1" s="6"/>
      <c r="E1" s="6"/>
      <c r="F1" s="6"/>
      <c r="G1" s="7"/>
      <c r="H1" s="1"/>
      <c r="I1" s="1"/>
      <c r="J1" s="1"/>
      <c r="K1" s="1"/>
      <c r="M1" s="1"/>
      <c r="N1" s="1"/>
      <c r="P1" s="1"/>
      <c r="Q1" s="59"/>
    </row>
    <row r="2" spans="1:17" ht="18" customHeight="1">
      <c r="A2" s="29"/>
      <c r="Q2" s="60" t="s">
        <v>14</v>
      </c>
    </row>
    <row r="3" spans="1:17" ht="18" customHeight="1">
      <c r="A3" s="283" t="s">
        <v>15</v>
      </c>
      <c r="B3" s="284"/>
      <c r="C3" s="284"/>
      <c r="D3" s="321" t="s">
        <v>16</v>
      </c>
      <c r="E3" s="288" t="s">
        <v>17</v>
      </c>
      <c r="F3" s="323" t="s">
        <v>150</v>
      </c>
      <c r="G3" s="325" t="s">
        <v>19</v>
      </c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8" customHeight="1">
      <c r="A4" s="9" t="s">
        <v>20</v>
      </c>
      <c r="B4" s="10" t="s">
        <v>21</v>
      </c>
      <c r="C4" s="41" t="s">
        <v>22</v>
      </c>
      <c r="D4" s="322"/>
      <c r="E4" s="289"/>
      <c r="F4" s="324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8" customHeight="1">
      <c r="A5" s="329" t="s">
        <v>37</v>
      </c>
      <c r="B5" s="330"/>
      <c r="C5" s="330"/>
      <c r="D5" s="142">
        <f>D6+D18+D53+D62+D68+D95</f>
        <v>775273</v>
      </c>
      <c r="E5" s="142">
        <f>E6+E18+E53+E62+E68+E95</f>
        <v>724553</v>
      </c>
      <c r="F5" s="142">
        <f>F6+F18+F53+F62+F68+F95</f>
        <v>50720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</row>
    <row r="6" spans="1:17" ht="18" customHeight="1">
      <c r="A6" s="13"/>
      <c r="B6" s="333" t="s">
        <v>75</v>
      </c>
      <c r="C6" s="334"/>
      <c r="D6" s="199">
        <f>SUM(D7+D11+D15)</f>
        <v>291899</v>
      </c>
      <c r="E6" s="172">
        <f>SUM(E7+E11+E15)</f>
        <v>273765</v>
      </c>
      <c r="F6" s="145">
        <f>F7+F11+F15</f>
        <v>18134</v>
      </c>
      <c r="G6" s="335"/>
      <c r="H6" s="336"/>
      <c r="I6" s="336"/>
      <c r="J6" s="336"/>
      <c r="K6" s="336"/>
      <c r="L6" s="336"/>
      <c r="M6" s="336"/>
      <c r="N6" s="336"/>
      <c r="O6" s="336"/>
      <c r="P6" s="336"/>
      <c r="Q6" s="337"/>
    </row>
    <row r="7" spans="1:17" ht="18" customHeight="1">
      <c r="A7" s="13"/>
      <c r="B7" s="14"/>
      <c r="C7" s="42" t="s">
        <v>76</v>
      </c>
      <c r="D7" s="11">
        <f>INT(Q10/1000)</f>
        <v>187938</v>
      </c>
      <c r="E7" s="14">
        <v>176066</v>
      </c>
      <c r="F7" s="48">
        <f>+D7-E7</f>
        <v>11872</v>
      </c>
      <c r="G7" s="44"/>
      <c r="H7" s="17"/>
      <c r="I7" s="17"/>
      <c r="J7" s="17"/>
      <c r="K7" s="17"/>
      <c r="L7" s="33"/>
      <c r="M7" s="17"/>
      <c r="N7" s="17"/>
      <c r="O7" s="33"/>
      <c r="P7" s="17"/>
      <c r="Q7" s="61"/>
    </row>
    <row r="8" spans="1:17" ht="18" customHeight="1">
      <c r="A8" s="13"/>
      <c r="B8" s="19"/>
      <c r="C8" s="43"/>
      <c r="D8" s="13"/>
      <c r="E8" s="19"/>
      <c r="F8" s="49"/>
      <c r="G8" s="46" t="s">
        <v>77</v>
      </c>
      <c r="H8" s="30">
        <v>3635375</v>
      </c>
      <c r="I8" s="31" t="s">
        <v>3</v>
      </c>
      <c r="J8" s="31" t="s">
        <v>151</v>
      </c>
      <c r="K8" s="30">
        <v>4</v>
      </c>
      <c r="L8" s="51" t="s">
        <v>0</v>
      </c>
      <c r="M8" s="31" t="s">
        <v>151</v>
      </c>
      <c r="N8" s="32">
        <v>12</v>
      </c>
      <c r="O8" s="51" t="s">
        <v>1</v>
      </c>
      <c r="P8" s="197" t="s">
        <v>152</v>
      </c>
      <c r="Q8" s="63">
        <v>174498000</v>
      </c>
    </row>
    <row r="9" spans="1:17" ht="19.5" customHeight="1">
      <c r="A9" s="13"/>
      <c r="B9" s="19"/>
      <c r="C9" s="43"/>
      <c r="D9" s="13"/>
      <c r="E9" s="19"/>
      <c r="F9" s="49"/>
      <c r="G9" s="46" t="s">
        <v>153</v>
      </c>
      <c r="H9" s="30">
        <v>1680000</v>
      </c>
      <c r="I9" s="31" t="s">
        <v>3</v>
      </c>
      <c r="J9" s="31" t="s">
        <v>151</v>
      </c>
      <c r="K9" s="30">
        <v>4</v>
      </c>
      <c r="L9" s="51" t="s">
        <v>0</v>
      </c>
      <c r="M9" s="31" t="s">
        <v>151</v>
      </c>
      <c r="N9" s="32">
        <v>2</v>
      </c>
      <c r="O9" s="51" t="s">
        <v>1</v>
      </c>
      <c r="P9" s="27" t="s">
        <v>38</v>
      </c>
      <c r="Q9" s="63">
        <v>13440000</v>
      </c>
    </row>
    <row r="10" spans="1:17" ht="18" customHeight="1">
      <c r="A10" s="13"/>
      <c r="B10" s="19"/>
      <c r="C10" s="25"/>
      <c r="D10" s="39"/>
      <c r="E10" s="71"/>
      <c r="F10" s="47"/>
      <c r="G10" s="338" t="s">
        <v>28</v>
      </c>
      <c r="H10" s="338"/>
      <c r="I10" s="338"/>
      <c r="J10" s="338"/>
      <c r="K10" s="338"/>
      <c r="L10" s="338"/>
      <c r="M10" s="338"/>
      <c r="N10" s="338"/>
      <c r="O10" s="338"/>
      <c r="P10" s="338"/>
      <c r="Q10" s="97">
        <f>SUM(Q8:Q9)</f>
        <v>187938000</v>
      </c>
    </row>
    <row r="11" spans="1:17" ht="18" customHeight="1">
      <c r="A11" s="13"/>
      <c r="B11" s="19"/>
      <c r="C11" s="42" t="s">
        <v>154</v>
      </c>
      <c r="D11" s="11">
        <f>INT(Q14/1000)</f>
        <v>47991</v>
      </c>
      <c r="E11" s="14">
        <v>43480</v>
      </c>
      <c r="F11" s="48">
        <f>+D11-E11</f>
        <v>4511</v>
      </c>
      <c r="G11" s="44"/>
      <c r="H11" s="17"/>
      <c r="I11" s="17"/>
      <c r="J11" s="17"/>
      <c r="K11" s="17"/>
      <c r="L11" s="33"/>
      <c r="M11" s="17"/>
      <c r="N11" s="17"/>
      <c r="O11" s="33"/>
      <c r="P11" s="17"/>
      <c r="Q11" s="61"/>
    </row>
    <row r="12" spans="1:17" ht="18" customHeight="1">
      <c r="A12" s="13"/>
      <c r="B12" s="19"/>
      <c r="C12" s="43"/>
      <c r="D12" s="13"/>
      <c r="E12" s="19"/>
      <c r="F12" s="49"/>
      <c r="G12" s="46" t="s">
        <v>155</v>
      </c>
      <c r="H12" s="30">
        <v>3688166</v>
      </c>
      <c r="I12" s="31" t="s">
        <v>3</v>
      </c>
      <c r="J12" s="31" t="s">
        <v>151</v>
      </c>
      <c r="K12" s="30">
        <v>1</v>
      </c>
      <c r="L12" s="51" t="s">
        <v>0</v>
      </c>
      <c r="M12" s="31" t="s">
        <v>151</v>
      </c>
      <c r="N12" s="32">
        <v>12</v>
      </c>
      <c r="O12" s="51" t="s">
        <v>1</v>
      </c>
      <c r="P12" s="27"/>
      <c r="Q12" s="63">
        <f>ROUNDUP(H12*K12*N12,-3)</f>
        <v>44258000</v>
      </c>
    </row>
    <row r="13" spans="1:17" ht="19.5" customHeight="1">
      <c r="A13" s="13"/>
      <c r="B13" s="19"/>
      <c r="C13" s="43"/>
      <c r="D13" s="13"/>
      <c r="E13" s="19"/>
      <c r="F13" s="49"/>
      <c r="G13" s="46" t="s">
        <v>153</v>
      </c>
      <c r="H13" s="30">
        <v>1866500</v>
      </c>
      <c r="I13" s="31" t="s">
        <v>3</v>
      </c>
      <c r="J13" s="31" t="s">
        <v>151</v>
      </c>
      <c r="K13" s="30">
        <v>1</v>
      </c>
      <c r="L13" s="51" t="s">
        <v>0</v>
      </c>
      <c r="M13" s="31" t="s">
        <v>151</v>
      </c>
      <c r="N13" s="32">
        <v>2</v>
      </c>
      <c r="O13" s="51" t="s">
        <v>1</v>
      </c>
      <c r="P13" s="27" t="s">
        <v>38</v>
      </c>
      <c r="Q13" s="63">
        <f>H13*K13*N13</f>
        <v>3733000</v>
      </c>
    </row>
    <row r="14" spans="1:17" ht="18" customHeight="1">
      <c r="A14" s="13"/>
      <c r="B14" s="19"/>
      <c r="C14" s="25"/>
      <c r="D14" s="39"/>
      <c r="E14" s="71"/>
      <c r="F14" s="49"/>
      <c r="G14" s="338" t="s">
        <v>28</v>
      </c>
      <c r="H14" s="338"/>
      <c r="I14" s="338"/>
      <c r="J14" s="338"/>
      <c r="K14" s="338"/>
      <c r="L14" s="338"/>
      <c r="M14" s="338"/>
      <c r="N14" s="338"/>
      <c r="O14" s="338"/>
      <c r="P14" s="338"/>
      <c r="Q14" s="97">
        <f>SUM(Q12:Q13)</f>
        <v>47991000</v>
      </c>
    </row>
    <row r="15" spans="1:17" ht="18" customHeight="1">
      <c r="A15" s="13"/>
      <c r="B15" s="19"/>
      <c r="C15" s="188" t="s">
        <v>156</v>
      </c>
      <c r="D15" s="11">
        <f>INT(Q17/1000)</f>
        <v>55970</v>
      </c>
      <c r="E15" s="14">
        <v>54219</v>
      </c>
      <c r="F15" s="48">
        <f>+D15-E15</f>
        <v>1751</v>
      </c>
      <c r="G15" s="44"/>
      <c r="H15" s="17"/>
      <c r="I15" s="17"/>
      <c r="J15" s="17"/>
      <c r="K15" s="17"/>
      <c r="L15" s="33"/>
      <c r="M15" s="17"/>
      <c r="N15" s="17"/>
      <c r="O15" s="33"/>
      <c r="P15" s="17"/>
      <c r="Q15" s="61"/>
    </row>
    <row r="16" spans="1:17" ht="18" customHeight="1">
      <c r="A16" s="13"/>
      <c r="B16" s="19"/>
      <c r="C16" s="43"/>
      <c r="D16" s="13"/>
      <c r="E16" s="19"/>
      <c r="F16" s="49"/>
      <c r="G16" s="46" t="s">
        <v>157</v>
      </c>
      <c r="H16" s="30">
        <v>1554722</v>
      </c>
      <c r="I16" s="31" t="s">
        <v>3</v>
      </c>
      <c r="J16" s="31" t="s">
        <v>151</v>
      </c>
      <c r="K16" s="30">
        <v>3</v>
      </c>
      <c r="L16" s="51" t="s">
        <v>0</v>
      </c>
      <c r="M16" s="31" t="s">
        <v>151</v>
      </c>
      <c r="N16" s="32">
        <v>12</v>
      </c>
      <c r="O16" s="51" t="s">
        <v>1</v>
      </c>
      <c r="P16" s="27"/>
      <c r="Q16" s="63">
        <v>55970000</v>
      </c>
    </row>
    <row r="17" spans="1:17" ht="18" customHeight="1">
      <c r="A17" s="13"/>
      <c r="B17" s="24"/>
      <c r="C17" s="25"/>
      <c r="D17" s="39"/>
      <c r="E17" s="71"/>
      <c r="F17" s="49"/>
      <c r="G17" s="338" t="s">
        <v>28</v>
      </c>
      <c r="H17" s="338"/>
      <c r="I17" s="338"/>
      <c r="J17" s="338"/>
      <c r="K17" s="338"/>
      <c r="L17" s="338"/>
      <c r="M17" s="338"/>
      <c r="N17" s="338"/>
      <c r="O17" s="338"/>
      <c r="P17" s="338"/>
      <c r="Q17" s="97">
        <f>SUM(Q16:Q16)</f>
        <v>55970000</v>
      </c>
    </row>
    <row r="18" spans="1:17" ht="19.5" customHeight="1">
      <c r="A18" s="13"/>
      <c r="B18" s="312" t="s">
        <v>78</v>
      </c>
      <c r="C18" s="339"/>
      <c r="D18" s="146">
        <f>SUM(D19+D34+D42)</f>
        <v>26902</v>
      </c>
      <c r="E18" s="146">
        <f>SUM(E19+E34+E42)</f>
        <v>25964</v>
      </c>
      <c r="F18" s="156">
        <f>F19+F34+F42</f>
        <v>938</v>
      </c>
      <c r="G18" s="147"/>
      <c r="H18" s="148"/>
      <c r="I18" s="149"/>
      <c r="J18" s="149"/>
      <c r="K18" s="148"/>
      <c r="L18" s="150"/>
      <c r="M18" s="149"/>
      <c r="N18" s="151"/>
      <c r="O18" s="150"/>
      <c r="P18" s="152"/>
      <c r="Q18" s="153"/>
    </row>
    <row r="19" spans="1:17" ht="18" customHeight="1">
      <c r="A19" s="13"/>
      <c r="B19" s="19"/>
      <c r="C19" s="93" t="s">
        <v>79</v>
      </c>
      <c r="D19" s="11">
        <f>INT(Q33/1000)</f>
        <v>11152</v>
      </c>
      <c r="E19" s="70">
        <v>12162</v>
      </c>
      <c r="F19" s="48">
        <f>+D19-E19</f>
        <v>-1010</v>
      </c>
      <c r="G19" s="44"/>
      <c r="H19" s="17"/>
      <c r="I19" s="17"/>
      <c r="J19" s="17"/>
      <c r="K19" s="17"/>
      <c r="L19" s="33"/>
      <c r="M19" s="17"/>
      <c r="N19" s="17"/>
      <c r="O19" s="33"/>
      <c r="P19" s="17"/>
      <c r="Q19" s="61"/>
    </row>
    <row r="20" spans="1:17" ht="18" customHeight="1">
      <c r="A20" s="13"/>
      <c r="B20" s="19"/>
      <c r="C20" s="43"/>
      <c r="D20" s="13"/>
      <c r="E20" s="19"/>
      <c r="F20" s="49"/>
      <c r="G20" s="46" t="s">
        <v>158</v>
      </c>
      <c r="H20" s="30">
        <v>250000</v>
      </c>
      <c r="I20" s="31" t="s">
        <v>3</v>
      </c>
      <c r="J20" s="31" t="s">
        <v>151</v>
      </c>
      <c r="K20" s="30">
        <v>1</v>
      </c>
      <c r="L20" s="51" t="s">
        <v>0</v>
      </c>
      <c r="M20" s="31" t="s">
        <v>151</v>
      </c>
      <c r="N20" s="32">
        <v>12</v>
      </c>
      <c r="O20" s="51" t="s">
        <v>1</v>
      </c>
      <c r="P20" s="27" t="s">
        <v>38</v>
      </c>
      <c r="Q20" s="63">
        <f>H20*K20*N20</f>
        <v>3000000</v>
      </c>
    </row>
    <row r="21" spans="1:17" ht="19.5" customHeight="1">
      <c r="A21" s="13"/>
      <c r="B21" s="19"/>
      <c r="C21" s="43"/>
      <c r="D21" s="13"/>
      <c r="E21" s="19"/>
      <c r="F21" s="49"/>
      <c r="G21" s="46" t="s">
        <v>159</v>
      </c>
      <c r="H21" s="30"/>
      <c r="I21" s="31"/>
      <c r="J21" s="31"/>
      <c r="K21" s="30"/>
      <c r="L21" s="51"/>
      <c r="M21" s="31"/>
      <c r="N21" s="32"/>
      <c r="O21" s="51"/>
      <c r="P21" s="27"/>
      <c r="Q21" s="63"/>
    </row>
    <row r="22" spans="1:17" ht="18" customHeight="1">
      <c r="A22" s="13"/>
      <c r="B22" s="19"/>
      <c r="C22" s="43"/>
      <c r="D22" s="13"/>
      <c r="E22" s="19"/>
      <c r="F22" s="49"/>
      <c r="G22" s="46" t="s">
        <v>160</v>
      </c>
      <c r="H22" s="30">
        <v>130000</v>
      </c>
      <c r="I22" s="31" t="s">
        <v>3</v>
      </c>
      <c r="J22" s="31" t="s">
        <v>151</v>
      </c>
      <c r="K22" s="30">
        <v>1</v>
      </c>
      <c r="L22" s="51" t="s">
        <v>0</v>
      </c>
      <c r="M22" s="31" t="s">
        <v>151</v>
      </c>
      <c r="N22" s="32">
        <v>12</v>
      </c>
      <c r="O22" s="51" t="s">
        <v>1</v>
      </c>
      <c r="P22" s="27" t="s">
        <v>38</v>
      </c>
      <c r="Q22" s="63">
        <f>H22*K22*N22</f>
        <v>1560000</v>
      </c>
    </row>
    <row r="23" spans="1:17" ht="18" customHeight="1">
      <c r="A23" s="13"/>
      <c r="B23" s="19"/>
      <c r="C23" s="43"/>
      <c r="D23" s="13"/>
      <c r="E23" s="19"/>
      <c r="F23" s="49"/>
      <c r="G23" s="46" t="s">
        <v>338</v>
      </c>
      <c r="H23" s="30">
        <v>105833</v>
      </c>
      <c r="I23" s="31" t="s">
        <v>3</v>
      </c>
      <c r="J23" s="31" t="s">
        <v>151</v>
      </c>
      <c r="K23" s="30">
        <v>2</v>
      </c>
      <c r="L23" s="51" t="s">
        <v>0</v>
      </c>
      <c r="M23" s="31" t="s">
        <v>151</v>
      </c>
      <c r="N23" s="32">
        <v>12</v>
      </c>
      <c r="O23" s="51" t="s">
        <v>1</v>
      </c>
      <c r="P23" s="27" t="s">
        <v>38</v>
      </c>
      <c r="Q23" s="63">
        <v>2540000</v>
      </c>
    </row>
    <row r="24" spans="1:17" ht="19.5" customHeight="1">
      <c r="A24" s="13"/>
      <c r="B24" s="19"/>
      <c r="C24" s="43"/>
      <c r="D24" s="13"/>
      <c r="E24" s="19"/>
      <c r="F24" s="49"/>
      <c r="G24" s="46" t="s">
        <v>161</v>
      </c>
      <c r="H24" s="30"/>
      <c r="I24" s="31"/>
      <c r="J24" s="31"/>
      <c r="K24" s="30"/>
      <c r="L24" s="51"/>
      <c r="M24" s="31"/>
      <c r="N24" s="32"/>
      <c r="O24" s="51"/>
      <c r="P24" s="27"/>
      <c r="Q24" s="257" t="s">
        <v>462</v>
      </c>
    </row>
    <row r="25" spans="1:17" ht="18" customHeight="1">
      <c r="A25" s="13"/>
      <c r="B25" s="19"/>
      <c r="C25" s="43"/>
      <c r="D25" s="13"/>
      <c r="E25" s="19"/>
      <c r="F25" s="49"/>
      <c r="G25" s="46" t="s">
        <v>162</v>
      </c>
      <c r="H25" s="30">
        <v>10000</v>
      </c>
      <c r="I25" s="31" t="s">
        <v>3</v>
      </c>
      <c r="J25" s="31" t="s">
        <v>151</v>
      </c>
      <c r="K25" s="30">
        <v>1</v>
      </c>
      <c r="L25" s="51" t="s">
        <v>0</v>
      </c>
      <c r="M25" s="31" t="s">
        <v>151</v>
      </c>
      <c r="N25" s="32">
        <v>12</v>
      </c>
      <c r="O25" s="51" t="s">
        <v>1</v>
      </c>
      <c r="P25" s="27" t="s">
        <v>38</v>
      </c>
      <c r="Q25" s="63">
        <f>H25*K25*N25</f>
        <v>120000</v>
      </c>
    </row>
    <row r="26" spans="1:17" ht="18" customHeight="1">
      <c r="A26" s="13"/>
      <c r="B26" s="19"/>
      <c r="C26" s="27"/>
      <c r="D26" s="13"/>
      <c r="E26" s="69"/>
      <c r="F26" s="49"/>
      <c r="G26" s="46" t="s">
        <v>163</v>
      </c>
      <c r="H26" s="27"/>
      <c r="I26" s="27"/>
      <c r="J26" s="27"/>
      <c r="K26" s="27"/>
      <c r="L26" s="34"/>
      <c r="M26" s="27"/>
      <c r="N26" s="27"/>
      <c r="O26" s="34"/>
      <c r="P26" s="27"/>
      <c r="Q26" s="62"/>
    </row>
    <row r="27" spans="1:17" ht="18" customHeight="1">
      <c r="A27" s="13"/>
      <c r="B27" s="19"/>
      <c r="C27" s="43"/>
      <c r="D27" s="13"/>
      <c r="E27" s="19"/>
      <c r="F27" s="49"/>
      <c r="G27" s="46" t="s">
        <v>164</v>
      </c>
      <c r="H27" s="30">
        <v>40000</v>
      </c>
      <c r="I27" s="31" t="s">
        <v>3</v>
      </c>
      <c r="J27" s="31" t="s">
        <v>151</v>
      </c>
      <c r="K27" s="30">
        <v>2</v>
      </c>
      <c r="L27" s="51" t="s">
        <v>0</v>
      </c>
      <c r="M27" s="31" t="s">
        <v>151</v>
      </c>
      <c r="N27" s="32">
        <v>12</v>
      </c>
      <c r="O27" s="51" t="s">
        <v>1</v>
      </c>
      <c r="P27" s="27" t="s">
        <v>38</v>
      </c>
      <c r="Q27" s="63">
        <f>H27*K27*N27</f>
        <v>960000</v>
      </c>
    </row>
    <row r="28" spans="1:17" ht="18" customHeight="1">
      <c r="A28" s="13"/>
      <c r="B28" s="19"/>
      <c r="C28" s="43"/>
      <c r="D28" s="13"/>
      <c r="E28" s="19"/>
      <c r="F28" s="49"/>
      <c r="G28" s="46" t="s">
        <v>165</v>
      </c>
      <c r="H28" s="30">
        <v>20000</v>
      </c>
      <c r="I28" s="31" t="s">
        <v>3</v>
      </c>
      <c r="J28" s="31" t="s">
        <v>151</v>
      </c>
      <c r="K28" s="259">
        <v>5.1</v>
      </c>
      <c r="L28" s="51" t="s">
        <v>0</v>
      </c>
      <c r="M28" s="31" t="s">
        <v>151</v>
      </c>
      <c r="N28" s="32">
        <v>12</v>
      </c>
      <c r="O28" s="51" t="s">
        <v>1</v>
      </c>
      <c r="P28" s="27" t="s">
        <v>38</v>
      </c>
      <c r="Q28" s="63">
        <v>1220000</v>
      </c>
    </row>
    <row r="29" spans="1:17" ht="18" customHeight="1">
      <c r="A29" s="13"/>
      <c r="B29" s="19"/>
      <c r="C29" s="43"/>
      <c r="D29" s="13"/>
      <c r="E29" s="19"/>
      <c r="F29" s="49"/>
      <c r="G29" s="46" t="s">
        <v>166</v>
      </c>
      <c r="H29" s="30">
        <v>0</v>
      </c>
      <c r="I29" s="31" t="s">
        <v>3</v>
      </c>
      <c r="J29" s="31" t="s">
        <v>151</v>
      </c>
      <c r="K29" s="30">
        <v>0</v>
      </c>
      <c r="L29" s="51" t="s">
        <v>0</v>
      </c>
      <c r="M29" s="31" t="s">
        <v>151</v>
      </c>
      <c r="N29" s="32">
        <v>12</v>
      </c>
      <c r="O29" s="51" t="s">
        <v>1</v>
      </c>
      <c r="P29" s="27" t="s">
        <v>38</v>
      </c>
      <c r="Q29" s="63">
        <f>H29*K29*N29</f>
        <v>0</v>
      </c>
    </row>
    <row r="30" spans="1:17" ht="18" customHeight="1">
      <c r="A30" s="13"/>
      <c r="B30" s="19"/>
      <c r="C30" s="43"/>
      <c r="D30" s="13"/>
      <c r="E30" s="19"/>
      <c r="F30" s="49"/>
      <c r="G30" s="46" t="s">
        <v>167</v>
      </c>
      <c r="H30" s="30">
        <v>30000</v>
      </c>
      <c r="I30" s="31" t="s">
        <v>3</v>
      </c>
      <c r="J30" s="31" t="s">
        <v>151</v>
      </c>
      <c r="K30" s="30">
        <v>1</v>
      </c>
      <c r="L30" s="51" t="s">
        <v>0</v>
      </c>
      <c r="M30" s="31" t="s">
        <v>151</v>
      </c>
      <c r="N30" s="32">
        <v>12</v>
      </c>
      <c r="O30" s="51" t="s">
        <v>1</v>
      </c>
      <c r="P30" s="27" t="s">
        <v>38</v>
      </c>
      <c r="Q30" s="63">
        <f>H30*K30*N30</f>
        <v>360000</v>
      </c>
    </row>
    <row r="31" spans="1:17" ht="19.5" customHeight="1">
      <c r="A31" s="13"/>
      <c r="B31" s="19"/>
      <c r="C31" s="43"/>
      <c r="D31" s="13"/>
      <c r="E31" s="19"/>
      <c r="F31" s="49"/>
      <c r="G31" s="46" t="s">
        <v>168</v>
      </c>
      <c r="H31" s="30"/>
      <c r="I31" s="31"/>
      <c r="J31" s="31"/>
      <c r="K31" s="30"/>
      <c r="L31" s="51"/>
      <c r="M31" s="31"/>
      <c r="N31" s="32"/>
      <c r="O31" s="205"/>
      <c r="P31" s="27"/>
      <c r="Q31" s="63"/>
    </row>
    <row r="32" spans="1:17" ht="18" customHeight="1">
      <c r="A32" s="13"/>
      <c r="B32" s="19"/>
      <c r="C32" s="43"/>
      <c r="D32" s="13"/>
      <c r="E32" s="19"/>
      <c r="F32" s="49"/>
      <c r="G32" s="46" t="s">
        <v>461</v>
      </c>
      <c r="H32" s="30">
        <v>464000</v>
      </c>
      <c r="I32" s="31" t="s">
        <v>3</v>
      </c>
      <c r="J32" s="31" t="s">
        <v>151</v>
      </c>
      <c r="K32" s="30">
        <v>1</v>
      </c>
      <c r="L32" s="51" t="s">
        <v>0</v>
      </c>
      <c r="M32" s="31" t="s">
        <v>151</v>
      </c>
      <c r="N32" s="32">
        <v>3</v>
      </c>
      <c r="O32" s="205" t="s">
        <v>4</v>
      </c>
      <c r="P32" s="27" t="s">
        <v>38</v>
      </c>
      <c r="Q32" s="63">
        <f>ROUNDUP(H32*K32*N32,-3)</f>
        <v>1392000</v>
      </c>
    </row>
    <row r="33" spans="1:17" ht="18" customHeight="1">
      <c r="A33" s="13"/>
      <c r="B33" s="19"/>
      <c r="C33" s="25"/>
      <c r="D33" s="39"/>
      <c r="E33" s="71"/>
      <c r="F33" s="47"/>
      <c r="G33" s="338" t="s">
        <v>28</v>
      </c>
      <c r="H33" s="338"/>
      <c r="I33" s="338"/>
      <c r="J33" s="338"/>
      <c r="K33" s="338"/>
      <c r="L33" s="338"/>
      <c r="M33" s="338"/>
      <c r="N33" s="338"/>
      <c r="O33" s="338"/>
      <c r="P33" s="338"/>
      <c r="Q33" s="97">
        <f>SUM(Q20:Q32)</f>
        <v>11152000</v>
      </c>
    </row>
    <row r="34" spans="1:17" ht="18" customHeight="1">
      <c r="A34" s="13"/>
      <c r="B34" s="19"/>
      <c r="C34" s="93" t="s">
        <v>169</v>
      </c>
      <c r="D34" s="11">
        <f>INT(Q41/1000)</f>
        <v>3960</v>
      </c>
      <c r="E34" s="70">
        <v>3120</v>
      </c>
      <c r="F34" s="48">
        <f>+D34-E34</f>
        <v>840</v>
      </c>
      <c r="G34" s="44"/>
      <c r="H34" s="17"/>
      <c r="I34" s="17"/>
      <c r="J34" s="17"/>
      <c r="K34" s="17"/>
      <c r="L34" s="33"/>
      <c r="M34" s="17"/>
      <c r="N34" s="17"/>
      <c r="O34" s="33"/>
      <c r="P34" s="17"/>
      <c r="Q34" s="61"/>
    </row>
    <row r="35" spans="1:17" ht="19.5" customHeight="1">
      <c r="A35" s="13"/>
      <c r="B35" s="19"/>
      <c r="C35" s="43"/>
      <c r="D35" s="13"/>
      <c r="E35" s="19"/>
      <c r="F35" s="49"/>
      <c r="G35" s="46" t="s">
        <v>170</v>
      </c>
      <c r="H35" s="232"/>
      <c r="I35" s="186"/>
      <c r="J35" s="31"/>
      <c r="K35" s="30"/>
      <c r="L35" s="51"/>
      <c r="M35" s="31"/>
      <c r="N35" s="32"/>
      <c r="O35" s="51"/>
      <c r="P35" s="27"/>
      <c r="Q35" s="63"/>
    </row>
    <row r="36" spans="1:17" ht="18" customHeight="1">
      <c r="A36" s="13"/>
      <c r="B36" s="19"/>
      <c r="C36" s="43"/>
      <c r="D36" s="13"/>
      <c r="E36" s="19"/>
      <c r="F36" s="49"/>
      <c r="G36" s="46" t="s">
        <v>339</v>
      </c>
      <c r="H36" s="30">
        <v>130000</v>
      </c>
      <c r="I36" s="31" t="s">
        <v>3</v>
      </c>
      <c r="J36" s="31" t="s">
        <v>151</v>
      </c>
      <c r="K36" s="30">
        <v>1</v>
      </c>
      <c r="L36" s="51" t="s">
        <v>0</v>
      </c>
      <c r="M36" s="31" t="s">
        <v>151</v>
      </c>
      <c r="N36" s="32">
        <v>12</v>
      </c>
      <c r="O36" s="51" t="s">
        <v>1</v>
      </c>
      <c r="P36" s="27" t="s">
        <v>38</v>
      </c>
      <c r="Q36" s="63">
        <f>H36*K36*N36</f>
        <v>1560000</v>
      </c>
    </row>
    <row r="37" spans="1:17" ht="18" customHeight="1">
      <c r="A37" s="13"/>
      <c r="B37" s="19"/>
      <c r="C37" s="43"/>
      <c r="D37" s="13"/>
      <c r="E37" s="19"/>
      <c r="F37" s="49"/>
      <c r="G37" s="46" t="s">
        <v>340</v>
      </c>
      <c r="H37" s="30">
        <v>80000</v>
      </c>
      <c r="I37" s="31" t="s">
        <v>3</v>
      </c>
      <c r="J37" s="31" t="s">
        <v>151</v>
      </c>
      <c r="K37" s="30">
        <v>0</v>
      </c>
      <c r="L37" s="51" t="s">
        <v>0</v>
      </c>
      <c r="M37" s="31" t="s">
        <v>151</v>
      </c>
      <c r="N37" s="32">
        <v>0</v>
      </c>
      <c r="O37" s="51" t="s">
        <v>1</v>
      </c>
      <c r="P37" s="27" t="s">
        <v>38</v>
      </c>
      <c r="Q37" s="63">
        <f>H37*K37*N37</f>
        <v>0</v>
      </c>
    </row>
    <row r="38" spans="1:17" ht="18" customHeight="1">
      <c r="A38" s="13"/>
      <c r="B38" s="19"/>
      <c r="C38" s="27"/>
      <c r="D38" s="13"/>
      <c r="E38" s="69"/>
      <c r="F38" s="49"/>
      <c r="G38" s="46" t="s">
        <v>176</v>
      </c>
      <c r="H38" s="27"/>
      <c r="I38" s="27"/>
      <c r="J38" s="27"/>
      <c r="K38" s="27"/>
      <c r="L38" s="34"/>
      <c r="M38" s="27"/>
      <c r="N38" s="27"/>
      <c r="O38" s="34"/>
      <c r="P38" s="27"/>
      <c r="Q38" s="62"/>
    </row>
    <row r="39" spans="1:17" ht="18" customHeight="1">
      <c r="A39" s="13"/>
      <c r="B39" s="19"/>
      <c r="C39" s="43"/>
      <c r="D39" s="13"/>
      <c r="E39" s="19"/>
      <c r="F39" s="49"/>
      <c r="G39" s="46" t="s">
        <v>177</v>
      </c>
      <c r="H39" s="30">
        <v>40000</v>
      </c>
      <c r="I39" s="31" t="s">
        <v>178</v>
      </c>
      <c r="J39" s="31" t="s">
        <v>172</v>
      </c>
      <c r="K39" s="30">
        <v>1</v>
      </c>
      <c r="L39" s="51" t="s">
        <v>173</v>
      </c>
      <c r="M39" s="31" t="s">
        <v>172</v>
      </c>
      <c r="N39" s="32">
        <v>12</v>
      </c>
      <c r="O39" s="51" t="s">
        <v>174</v>
      </c>
      <c r="P39" s="27" t="s">
        <v>175</v>
      </c>
      <c r="Q39" s="63">
        <f>H39*K39*N39</f>
        <v>480000</v>
      </c>
    </row>
    <row r="40" spans="1:17" ht="18" customHeight="1">
      <c r="A40" s="13"/>
      <c r="B40" s="19"/>
      <c r="C40" s="43"/>
      <c r="D40" s="13"/>
      <c r="E40" s="19"/>
      <c r="F40" s="49"/>
      <c r="G40" s="46" t="s">
        <v>179</v>
      </c>
      <c r="H40" s="30">
        <v>40000</v>
      </c>
      <c r="I40" s="31" t="s">
        <v>178</v>
      </c>
      <c r="J40" s="31" t="s">
        <v>172</v>
      </c>
      <c r="K40" s="30">
        <v>4</v>
      </c>
      <c r="L40" s="51" t="s">
        <v>173</v>
      </c>
      <c r="M40" s="31" t="s">
        <v>172</v>
      </c>
      <c r="N40" s="32">
        <v>12</v>
      </c>
      <c r="O40" s="51" t="s">
        <v>174</v>
      </c>
      <c r="P40" s="27" t="s">
        <v>175</v>
      </c>
      <c r="Q40" s="63">
        <f>H40*K40*N40</f>
        <v>1920000</v>
      </c>
    </row>
    <row r="41" spans="1:17" ht="18" customHeight="1">
      <c r="A41" s="13"/>
      <c r="B41" s="19"/>
      <c r="C41" s="25"/>
      <c r="D41" s="39"/>
      <c r="E41" s="71"/>
      <c r="F41" s="49"/>
      <c r="G41" s="338" t="s">
        <v>28</v>
      </c>
      <c r="H41" s="338"/>
      <c r="I41" s="338"/>
      <c r="J41" s="338"/>
      <c r="K41" s="338"/>
      <c r="L41" s="338"/>
      <c r="M41" s="338"/>
      <c r="N41" s="338"/>
      <c r="O41" s="338"/>
      <c r="P41" s="338"/>
      <c r="Q41" s="97">
        <f>SUM(Q35:Q40)</f>
        <v>3960000</v>
      </c>
    </row>
    <row r="42" spans="1:17" ht="18" customHeight="1">
      <c r="A42" s="13"/>
      <c r="B42" s="19"/>
      <c r="C42" s="93" t="s">
        <v>341</v>
      </c>
      <c r="D42" s="11">
        <f>INT(Q52/1000)</f>
        <v>11790</v>
      </c>
      <c r="E42" s="70">
        <v>10682</v>
      </c>
      <c r="F42" s="48">
        <f>+D42-E42</f>
        <v>1108</v>
      </c>
      <c r="G42" s="44"/>
      <c r="H42" s="17"/>
      <c r="I42" s="17"/>
      <c r="J42" s="17"/>
      <c r="K42" s="17"/>
      <c r="L42" s="33"/>
      <c r="M42" s="17"/>
      <c r="N42" s="17"/>
      <c r="O42" s="33"/>
      <c r="P42" s="17"/>
      <c r="Q42" s="61"/>
    </row>
    <row r="43" spans="1:17" ht="19.5" customHeight="1">
      <c r="A43" s="13"/>
      <c r="B43" s="19"/>
      <c r="C43" s="43"/>
      <c r="D43" s="13"/>
      <c r="E43" s="19"/>
      <c r="F43" s="49"/>
      <c r="G43" s="46" t="s">
        <v>342</v>
      </c>
      <c r="H43" s="30">
        <v>200000</v>
      </c>
      <c r="I43" s="31" t="s">
        <v>3</v>
      </c>
      <c r="J43" s="31" t="s">
        <v>151</v>
      </c>
      <c r="K43" s="30">
        <v>3</v>
      </c>
      <c r="L43" s="51" t="s">
        <v>0</v>
      </c>
      <c r="M43" s="31" t="s">
        <v>151</v>
      </c>
      <c r="N43" s="32">
        <v>2</v>
      </c>
      <c r="O43" s="51" t="s">
        <v>1</v>
      </c>
      <c r="P43" s="27" t="s">
        <v>38</v>
      </c>
      <c r="Q43" s="63">
        <f>H43*K43*N43</f>
        <v>1200000</v>
      </c>
    </row>
    <row r="44" spans="1:17" ht="18" customHeight="1">
      <c r="A44" s="13"/>
      <c r="B44" s="19"/>
      <c r="C44" s="43"/>
      <c r="D44" s="13"/>
      <c r="E44" s="19"/>
      <c r="F44" s="49"/>
      <c r="G44" s="46" t="s">
        <v>463</v>
      </c>
      <c r="H44" s="30">
        <v>573333</v>
      </c>
      <c r="I44" s="31" t="s">
        <v>3</v>
      </c>
      <c r="J44" s="31" t="s">
        <v>151</v>
      </c>
      <c r="K44" s="30">
        <v>3</v>
      </c>
      <c r="L44" s="51" t="s">
        <v>0</v>
      </c>
      <c r="M44" s="31" t="s">
        <v>151</v>
      </c>
      <c r="N44" s="32">
        <v>1</v>
      </c>
      <c r="O44" s="205" t="s">
        <v>1</v>
      </c>
      <c r="P44" s="27" t="s">
        <v>38</v>
      </c>
      <c r="Q44" s="63">
        <f>ROUNDUP(H44*K44*N44,-3)</f>
        <v>1720000</v>
      </c>
    </row>
    <row r="45" spans="1:17" ht="18" customHeight="1">
      <c r="A45" s="13"/>
      <c r="B45" s="19"/>
      <c r="C45" s="27"/>
      <c r="D45" s="13"/>
      <c r="E45" s="69"/>
      <c r="F45" s="49"/>
      <c r="G45" s="46" t="s">
        <v>464</v>
      </c>
      <c r="H45" s="30">
        <v>80000</v>
      </c>
      <c r="I45" s="31" t="s">
        <v>3</v>
      </c>
      <c r="J45" s="31" t="s">
        <v>151</v>
      </c>
      <c r="K45" s="30">
        <v>1</v>
      </c>
      <c r="L45" s="51" t="s">
        <v>0</v>
      </c>
      <c r="M45" s="31" t="s">
        <v>151</v>
      </c>
      <c r="N45" s="32">
        <v>12</v>
      </c>
      <c r="O45" s="51" t="s">
        <v>1</v>
      </c>
      <c r="P45" s="27" t="s">
        <v>38</v>
      </c>
      <c r="Q45" s="63">
        <f>H45*K45*N45</f>
        <v>960000</v>
      </c>
    </row>
    <row r="46" spans="1:17" ht="18" customHeight="1">
      <c r="A46" s="13"/>
      <c r="B46" s="19"/>
      <c r="C46" s="43"/>
      <c r="D46" s="13"/>
      <c r="E46" s="19"/>
      <c r="F46" s="49"/>
      <c r="G46" s="46" t="s">
        <v>343</v>
      </c>
      <c r="H46" s="30">
        <v>60000</v>
      </c>
      <c r="I46" s="31" t="s">
        <v>3</v>
      </c>
      <c r="J46" s="31" t="s">
        <v>151</v>
      </c>
      <c r="K46" s="30">
        <v>3</v>
      </c>
      <c r="L46" s="51" t="s">
        <v>0</v>
      </c>
      <c r="M46" s="31" t="s">
        <v>151</v>
      </c>
      <c r="N46" s="32">
        <v>12</v>
      </c>
      <c r="O46" s="51" t="s">
        <v>1</v>
      </c>
      <c r="P46" s="27" t="s">
        <v>38</v>
      </c>
      <c r="Q46" s="63">
        <f>H46*K46*N46</f>
        <v>2160000</v>
      </c>
    </row>
    <row r="47" spans="1:17" ht="18" customHeight="1">
      <c r="A47" s="13"/>
      <c r="B47" s="19"/>
      <c r="C47" s="27"/>
      <c r="D47" s="13"/>
      <c r="E47" s="69"/>
      <c r="F47" s="49"/>
      <c r="G47" s="46" t="s">
        <v>344</v>
      </c>
      <c r="H47" s="30"/>
      <c r="I47" s="31"/>
      <c r="J47" s="31"/>
      <c r="K47" s="30"/>
      <c r="L47" s="51"/>
      <c r="M47" s="31"/>
      <c r="N47" s="32"/>
      <c r="O47" s="51"/>
      <c r="P47" s="27"/>
      <c r="Q47" s="63"/>
    </row>
    <row r="48" spans="1:17" ht="18" customHeight="1">
      <c r="A48" s="13"/>
      <c r="B48" s="19"/>
      <c r="C48" s="43"/>
      <c r="D48" s="13"/>
      <c r="E48" s="19"/>
      <c r="F48" s="49"/>
      <c r="G48" s="46" t="s">
        <v>164</v>
      </c>
      <c r="H48" s="30">
        <v>40000</v>
      </c>
      <c r="I48" s="31" t="s">
        <v>3</v>
      </c>
      <c r="J48" s="31" t="s">
        <v>151</v>
      </c>
      <c r="K48" s="30">
        <v>2</v>
      </c>
      <c r="L48" s="51" t="s">
        <v>0</v>
      </c>
      <c r="M48" s="31" t="s">
        <v>151</v>
      </c>
      <c r="N48" s="32">
        <v>12</v>
      </c>
      <c r="O48" s="51" t="s">
        <v>1</v>
      </c>
      <c r="P48" s="27" t="s">
        <v>38</v>
      </c>
      <c r="Q48" s="63">
        <f>H48*K48*N48</f>
        <v>960000</v>
      </c>
    </row>
    <row r="49" spans="1:17" ht="18" customHeight="1">
      <c r="A49" s="13"/>
      <c r="B49" s="19"/>
      <c r="C49" s="43"/>
      <c r="D49" s="13"/>
      <c r="E49" s="19"/>
      <c r="F49" s="49"/>
      <c r="G49" s="46" t="s">
        <v>165</v>
      </c>
      <c r="H49" s="30">
        <v>20000</v>
      </c>
      <c r="I49" s="31" t="s">
        <v>3</v>
      </c>
      <c r="J49" s="31" t="s">
        <v>151</v>
      </c>
      <c r="K49" s="30">
        <v>1</v>
      </c>
      <c r="L49" s="51" t="s">
        <v>0</v>
      </c>
      <c r="M49" s="31" t="s">
        <v>151</v>
      </c>
      <c r="N49" s="32">
        <v>12</v>
      </c>
      <c r="O49" s="51" t="s">
        <v>1</v>
      </c>
      <c r="P49" s="27" t="s">
        <v>38</v>
      </c>
      <c r="Q49" s="63">
        <f>H49*K49*N49</f>
        <v>240000</v>
      </c>
    </row>
    <row r="50" spans="1:17" ht="18" customHeight="1">
      <c r="A50" s="13"/>
      <c r="B50" s="19"/>
      <c r="C50" s="43"/>
      <c r="D50" s="13"/>
      <c r="E50" s="19"/>
      <c r="F50" s="49"/>
      <c r="G50" s="46" t="s">
        <v>345</v>
      </c>
      <c r="H50" s="30">
        <v>80000</v>
      </c>
      <c r="I50" s="31" t="s">
        <v>178</v>
      </c>
      <c r="J50" s="31" t="s">
        <v>172</v>
      </c>
      <c r="K50" s="30">
        <v>3</v>
      </c>
      <c r="L50" s="51" t="s">
        <v>173</v>
      </c>
      <c r="M50" s="31" t="s">
        <v>172</v>
      </c>
      <c r="N50" s="32">
        <v>12</v>
      </c>
      <c r="O50" s="51" t="s">
        <v>174</v>
      </c>
      <c r="P50" s="27" t="s">
        <v>175</v>
      </c>
      <c r="Q50" s="63">
        <f>H50*K50*N50</f>
        <v>2880000</v>
      </c>
    </row>
    <row r="51" spans="1:17" ht="18" customHeight="1">
      <c r="A51" s="13"/>
      <c r="B51" s="19"/>
      <c r="C51" s="43"/>
      <c r="D51" s="13"/>
      <c r="E51" s="19"/>
      <c r="F51" s="49"/>
      <c r="G51" s="46" t="s">
        <v>346</v>
      </c>
      <c r="H51" s="30">
        <v>50610</v>
      </c>
      <c r="I51" s="31" t="s">
        <v>178</v>
      </c>
      <c r="J51" s="31" t="s">
        <v>172</v>
      </c>
      <c r="K51" s="30">
        <v>3</v>
      </c>
      <c r="L51" s="51" t="s">
        <v>173</v>
      </c>
      <c r="M51" s="31" t="s">
        <v>172</v>
      </c>
      <c r="N51" s="32">
        <v>11</v>
      </c>
      <c r="O51" s="51" t="s">
        <v>174</v>
      </c>
      <c r="P51" s="27" t="s">
        <v>175</v>
      </c>
      <c r="Q51" s="63">
        <f>ROUNDDOWN(H51*K51*N51,-3)</f>
        <v>1670000</v>
      </c>
    </row>
    <row r="52" spans="1:17" ht="18" customHeight="1">
      <c r="A52" s="13"/>
      <c r="B52" s="24"/>
      <c r="C52" s="25"/>
      <c r="D52" s="39"/>
      <c r="E52" s="71"/>
      <c r="F52" s="49"/>
      <c r="G52" s="338" t="s">
        <v>28</v>
      </c>
      <c r="H52" s="338"/>
      <c r="I52" s="338"/>
      <c r="J52" s="338"/>
      <c r="K52" s="338"/>
      <c r="L52" s="338"/>
      <c r="M52" s="338"/>
      <c r="N52" s="338"/>
      <c r="O52" s="338"/>
      <c r="P52" s="338"/>
      <c r="Q52" s="97">
        <f>SUM(Q43:Q51)</f>
        <v>11790000</v>
      </c>
    </row>
    <row r="53" spans="1:17" ht="19.5" customHeight="1">
      <c r="A53" s="13"/>
      <c r="B53" s="340" t="s">
        <v>180</v>
      </c>
      <c r="C53" s="339"/>
      <c r="D53" s="200">
        <f>SUM(D54+D82)</f>
        <v>189044</v>
      </c>
      <c r="E53" s="129">
        <f>SUM(E54+E82)</f>
        <v>177011</v>
      </c>
      <c r="F53" s="156">
        <f>F54+F82</f>
        <v>12033</v>
      </c>
      <c r="G53" s="147"/>
      <c r="H53" s="148"/>
      <c r="I53" s="149"/>
      <c r="J53" s="149"/>
      <c r="K53" s="148"/>
      <c r="L53" s="150"/>
      <c r="M53" s="149"/>
      <c r="N53" s="151"/>
      <c r="O53" s="150"/>
      <c r="P53" s="152"/>
      <c r="Q53" s="153"/>
    </row>
    <row r="54" spans="1:17" ht="18" customHeight="1">
      <c r="A54" s="13"/>
      <c r="B54" s="19"/>
      <c r="C54" s="93" t="s">
        <v>181</v>
      </c>
      <c r="D54" s="11">
        <f>INT(Q61/1000)</f>
        <v>189044</v>
      </c>
      <c r="E54" s="70">
        <v>177011</v>
      </c>
      <c r="F54" s="48">
        <f>+D54-E54</f>
        <v>12033</v>
      </c>
      <c r="G54" s="44"/>
      <c r="H54" s="17"/>
      <c r="I54" s="17"/>
      <c r="J54" s="17"/>
      <c r="K54" s="17"/>
      <c r="L54" s="33"/>
      <c r="M54" s="17"/>
      <c r="N54" s="17"/>
      <c r="O54" s="33"/>
      <c r="P54" s="17"/>
      <c r="Q54" s="61"/>
    </row>
    <row r="55" spans="1:17" ht="18" customHeight="1">
      <c r="A55" s="13"/>
      <c r="B55" s="19"/>
      <c r="C55" s="43"/>
      <c r="D55" s="13"/>
      <c r="E55" s="19"/>
      <c r="F55" s="49"/>
      <c r="G55" s="46" t="s">
        <v>182</v>
      </c>
      <c r="H55" s="30">
        <v>2063403</v>
      </c>
      <c r="I55" s="31" t="s">
        <v>3</v>
      </c>
      <c r="J55" s="31" t="s">
        <v>151</v>
      </c>
      <c r="K55" s="30">
        <v>6</v>
      </c>
      <c r="L55" s="51" t="s">
        <v>0</v>
      </c>
      <c r="M55" s="31" t="s">
        <v>151</v>
      </c>
      <c r="N55" s="32">
        <v>12</v>
      </c>
      <c r="O55" s="51" t="s">
        <v>1</v>
      </c>
      <c r="P55" s="27" t="s">
        <v>38</v>
      </c>
      <c r="Q55" s="63">
        <f>ROUNDDOWN(H55*K55*N55,-3)</f>
        <v>148565000</v>
      </c>
    </row>
    <row r="56" spans="1:17" ht="18" customHeight="1">
      <c r="A56" s="13"/>
      <c r="B56" s="19"/>
      <c r="C56" s="43"/>
      <c r="D56" s="13"/>
      <c r="E56" s="19"/>
      <c r="F56" s="49"/>
      <c r="G56" s="46" t="s">
        <v>183</v>
      </c>
      <c r="H56" s="30">
        <v>40000</v>
      </c>
      <c r="I56" s="31" t="s">
        <v>3</v>
      </c>
      <c r="J56" s="31" t="s">
        <v>151</v>
      </c>
      <c r="K56" s="30">
        <v>6</v>
      </c>
      <c r="L56" s="51" t="s">
        <v>0</v>
      </c>
      <c r="M56" s="31" t="s">
        <v>151</v>
      </c>
      <c r="N56" s="32">
        <v>12</v>
      </c>
      <c r="O56" s="51" t="s">
        <v>1</v>
      </c>
      <c r="P56" s="27" t="s">
        <v>38</v>
      </c>
      <c r="Q56" s="63">
        <f>ROUNDDOWN(H56*K56*N56,-3)</f>
        <v>2880000</v>
      </c>
    </row>
    <row r="57" spans="1:17" ht="18" customHeight="1">
      <c r="A57" s="13"/>
      <c r="B57" s="19"/>
      <c r="C57" s="43"/>
      <c r="D57" s="13"/>
      <c r="E57" s="19"/>
      <c r="F57" s="49"/>
      <c r="G57" s="46" t="s">
        <v>184</v>
      </c>
      <c r="H57" s="30">
        <v>99834</v>
      </c>
      <c r="I57" s="31" t="s">
        <v>3</v>
      </c>
      <c r="J57" s="31" t="s">
        <v>151</v>
      </c>
      <c r="K57" s="30">
        <v>6</v>
      </c>
      <c r="L57" s="51" t="s">
        <v>0</v>
      </c>
      <c r="M57" s="31" t="s">
        <v>151</v>
      </c>
      <c r="N57" s="32">
        <v>12</v>
      </c>
      <c r="O57" s="51" t="s">
        <v>1</v>
      </c>
      <c r="P57" s="27" t="s">
        <v>38</v>
      </c>
      <c r="Q57" s="63">
        <f>ROUNDDOWN(H57*K57*N57,-3)</f>
        <v>7188000</v>
      </c>
    </row>
    <row r="58" spans="1:17" ht="19.5" customHeight="1">
      <c r="A58" s="13"/>
      <c r="B58" s="19"/>
      <c r="C58" s="43"/>
      <c r="D58" s="13"/>
      <c r="E58" s="19"/>
      <c r="F58" s="49"/>
      <c r="G58" s="46" t="s">
        <v>185</v>
      </c>
      <c r="H58" s="30">
        <v>202972</v>
      </c>
      <c r="I58" s="31" t="s">
        <v>39</v>
      </c>
      <c r="J58" s="31" t="s">
        <v>151</v>
      </c>
      <c r="K58" s="30">
        <v>6</v>
      </c>
      <c r="L58" s="51" t="s">
        <v>0</v>
      </c>
      <c r="M58" s="31" t="s">
        <v>151</v>
      </c>
      <c r="N58" s="32">
        <v>12</v>
      </c>
      <c r="O58" s="51" t="s">
        <v>1</v>
      </c>
      <c r="P58" s="27" t="s">
        <v>38</v>
      </c>
      <c r="Q58" s="63">
        <f>ROUNDUP(H58*K58*N58,-3)</f>
        <v>14614000</v>
      </c>
    </row>
    <row r="59" spans="1:17" ht="19.5" customHeight="1">
      <c r="A59" s="13"/>
      <c r="B59" s="19"/>
      <c r="C59" s="43"/>
      <c r="D59" s="13"/>
      <c r="E59" s="19"/>
      <c r="F59" s="49"/>
      <c r="G59" s="46" t="s">
        <v>447</v>
      </c>
      <c r="H59" s="30">
        <v>2092833</v>
      </c>
      <c r="I59" s="31" t="s">
        <v>39</v>
      </c>
      <c r="J59" s="31" t="s">
        <v>151</v>
      </c>
      <c r="K59" s="30">
        <v>6</v>
      </c>
      <c r="L59" s="51" t="s">
        <v>0</v>
      </c>
      <c r="M59" s="31" t="s">
        <v>151</v>
      </c>
      <c r="N59" s="32">
        <v>1</v>
      </c>
      <c r="O59" s="51" t="s">
        <v>1</v>
      </c>
      <c r="P59" s="27" t="s">
        <v>38</v>
      </c>
      <c r="Q59" s="63">
        <f>ROUNDUP(H59*K59*N59,-3)</f>
        <v>12557000</v>
      </c>
    </row>
    <row r="60" spans="1:17" ht="19.5" customHeight="1">
      <c r="A60" s="13"/>
      <c r="B60" s="19"/>
      <c r="C60" s="43"/>
      <c r="D60" s="13"/>
      <c r="E60" s="19"/>
      <c r="F60" s="49"/>
      <c r="G60" s="46" t="s">
        <v>465</v>
      </c>
      <c r="H60" s="30">
        <v>45000</v>
      </c>
      <c r="I60" s="31" t="s">
        <v>39</v>
      </c>
      <c r="J60" s="31" t="s">
        <v>151</v>
      </c>
      <c r="K60" s="30">
        <v>6</v>
      </c>
      <c r="L60" s="51" t="s">
        <v>0</v>
      </c>
      <c r="M60" s="31" t="s">
        <v>151</v>
      </c>
      <c r="N60" s="32">
        <v>12</v>
      </c>
      <c r="O60" s="51" t="s">
        <v>1</v>
      </c>
      <c r="P60" s="27" t="s">
        <v>38</v>
      </c>
      <c r="Q60" s="63">
        <f>ROUNDUP(H60*K60*N60,-3)</f>
        <v>3240000</v>
      </c>
    </row>
    <row r="61" spans="1:17" ht="18" customHeight="1">
      <c r="A61" s="13"/>
      <c r="B61" s="24"/>
      <c r="C61" s="25"/>
      <c r="D61" s="39"/>
      <c r="E61" s="71"/>
      <c r="F61" s="47"/>
      <c r="G61" s="338" t="s">
        <v>28</v>
      </c>
      <c r="H61" s="338"/>
      <c r="I61" s="338"/>
      <c r="J61" s="338"/>
      <c r="K61" s="338"/>
      <c r="L61" s="338"/>
      <c r="M61" s="338"/>
      <c r="N61" s="338"/>
      <c r="O61" s="338"/>
      <c r="P61" s="338"/>
      <c r="Q61" s="97">
        <f>SUM(Q55:Q60)</f>
        <v>189044000</v>
      </c>
    </row>
    <row r="62" spans="1:17" ht="18" customHeight="1">
      <c r="A62" s="13"/>
      <c r="B62" s="340" t="s">
        <v>399</v>
      </c>
      <c r="C62" s="339"/>
      <c r="D62" s="154">
        <f>D63+D66</f>
        <v>25042</v>
      </c>
      <c r="E62" s="154">
        <f>E63+E66</f>
        <v>36094</v>
      </c>
      <c r="F62" s="154">
        <f>F63+F66</f>
        <v>-11052</v>
      </c>
      <c r="G62" s="147"/>
      <c r="H62" s="148"/>
      <c r="I62" s="149"/>
      <c r="J62" s="149"/>
      <c r="K62" s="148"/>
      <c r="L62" s="150"/>
      <c r="M62" s="149"/>
      <c r="N62" s="151"/>
      <c r="O62" s="150"/>
      <c r="P62" s="152"/>
      <c r="Q62" s="153"/>
    </row>
    <row r="63" spans="1:17" ht="18" customHeight="1">
      <c r="A63" s="13"/>
      <c r="B63" s="343"/>
      <c r="C63" s="135" t="s">
        <v>397</v>
      </c>
      <c r="D63" s="11">
        <f>INT(Q65/1000)</f>
        <v>18445</v>
      </c>
      <c r="E63" s="14">
        <v>30713</v>
      </c>
      <c r="F63" s="48">
        <f>+D63-E63</f>
        <v>-12268</v>
      </c>
      <c r="G63" s="201" t="s">
        <v>203</v>
      </c>
      <c r="H63" s="88">
        <v>1790500</v>
      </c>
      <c r="I63" s="89" t="s">
        <v>39</v>
      </c>
      <c r="J63" s="89" t="s">
        <v>151</v>
      </c>
      <c r="K63" s="88">
        <v>6</v>
      </c>
      <c r="L63" s="90" t="s">
        <v>0</v>
      </c>
      <c r="M63" s="89" t="s">
        <v>151</v>
      </c>
      <c r="N63" s="91">
        <v>1</v>
      </c>
      <c r="O63" s="90" t="s">
        <v>1</v>
      </c>
      <c r="P63" s="17" t="s">
        <v>38</v>
      </c>
      <c r="Q63" s="92">
        <f>ROUNDUP(H63*K63*N63,-3)</f>
        <v>10743000</v>
      </c>
    </row>
    <row r="64" spans="1:17" ht="12.75" customHeight="1">
      <c r="A64" s="13"/>
      <c r="B64" s="344"/>
      <c r="C64" s="49"/>
      <c r="D64" s="13"/>
      <c r="E64" s="19"/>
      <c r="F64" s="49"/>
      <c r="G64" s="202" t="s">
        <v>204</v>
      </c>
      <c r="H64" s="30">
        <v>1925500</v>
      </c>
      <c r="I64" s="31" t="s">
        <v>39</v>
      </c>
      <c r="J64" s="31" t="s">
        <v>151</v>
      </c>
      <c r="K64" s="30">
        <v>4</v>
      </c>
      <c r="L64" s="51" t="s">
        <v>0</v>
      </c>
      <c r="M64" s="31" t="s">
        <v>151</v>
      </c>
      <c r="N64" s="32">
        <v>1</v>
      </c>
      <c r="O64" s="51" t="s">
        <v>1</v>
      </c>
      <c r="P64" s="27" t="s">
        <v>38</v>
      </c>
      <c r="Q64" s="63">
        <f>ROUNDUP(H64*K64*N64,-3)</f>
        <v>7702000</v>
      </c>
    </row>
    <row r="65" spans="1:17" ht="12.75" customHeight="1">
      <c r="A65" s="13"/>
      <c r="B65" s="344"/>
      <c r="C65" s="47"/>
      <c r="D65" s="39"/>
      <c r="E65" s="24"/>
      <c r="F65" s="47"/>
      <c r="G65" s="338" t="s">
        <v>28</v>
      </c>
      <c r="H65" s="338"/>
      <c r="I65" s="338"/>
      <c r="J65" s="338"/>
      <c r="K65" s="338"/>
      <c r="L65" s="338"/>
      <c r="M65" s="338"/>
      <c r="N65" s="338"/>
      <c r="O65" s="338"/>
      <c r="P65" s="338"/>
      <c r="Q65" s="97">
        <f>SUM(Q63:Q64)</f>
        <v>18445000</v>
      </c>
    </row>
    <row r="66" spans="1:17" ht="18" customHeight="1">
      <c r="A66" s="13"/>
      <c r="B66" s="344"/>
      <c r="C66" s="233" t="s">
        <v>398</v>
      </c>
      <c r="D66" s="11">
        <f>INT(Q67/1000)</f>
        <v>6597</v>
      </c>
      <c r="E66" s="14">
        <v>5381</v>
      </c>
      <c r="F66" s="48">
        <f>+D66-E66</f>
        <v>1216</v>
      </c>
      <c r="G66" s="201" t="s">
        <v>205</v>
      </c>
      <c r="H66" s="88">
        <v>2199000</v>
      </c>
      <c r="I66" s="89" t="s">
        <v>39</v>
      </c>
      <c r="J66" s="89" t="s">
        <v>151</v>
      </c>
      <c r="K66" s="88">
        <v>3</v>
      </c>
      <c r="L66" s="90" t="s">
        <v>0</v>
      </c>
      <c r="M66" s="89" t="s">
        <v>151</v>
      </c>
      <c r="N66" s="91">
        <v>1</v>
      </c>
      <c r="O66" s="90" t="s">
        <v>1</v>
      </c>
      <c r="P66" s="17" t="s">
        <v>38</v>
      </c>
      <c r="Q66" s="92">
        <f>ROUNDUP(H66*K66*N66,-3)</f>
        <v>6597000</v>
      </c>
    </row>
    <row r="67" spans="1:17" ht="12.75" customHeight="1">
      <c r="A67" s="13"/>
      <c r="B67" s="345"/>
      <c r="C67" s="47"/>
      <c r="D67" s="39"/>
      <c r="E67" s="24"/>
      <c r="F67" s="47"/>
      <c r="G67" s="338" t="s">
        <v>28</v>
      </c>
      <c r="H67" s="338"/>
      <c r="I67" s="338"/>
      <c r="J67" s="338"/>
      <c r="K67" s="338"/>
      <c r="L67" s="338"/>
      <c r="M67" s="338"/>
      <c r="N67" s="338"/>
      <c r="O67" s="338"/>
      <c r="P67" s="338"/>
      <c r="Q67" s="97">
        <f>SUM(Q66:Q66)</f>
        <v>6597000</v>
      </c>
    </row>
    <row r="68" spans="1:17" ht="19.5" customHeight="1">
      <c r="A68" s="13"/>
      <c r="B68" s="340" t="s">
        <v>394</v>
      </c>
      <c r="C68" s="339"/>
      <c r="D68" s="154">
        <f>D69+D73+D79+D83</f>
        <v>55462</v>
      </c>
      <c r="E68" s="154">
        <f>E69+E73+E79+E83</f>
        <v>47666</v>
      </c>
      <c r="F68" s="154">
        <f>F69+F73+F79+F83</f>
        <v>7796</v>
      </c>
      <c r="G68" s="147"/>
      <c r="H68" s="148"/>
      <c r="I68" s="149"/>
      <c r="J68" s="149"/>
      <c r="K68" s="148"/>
      <c r="L68" s="150"/>
      <c r="M68" s="149"/>
      <c r="N68" s="151"/>
      <c r="O68" s="150"/>
      <c r="P68" s="152"/>
      <c r="Q68" s="153"/>
    </row>
    <row r="69" spans="1:17" ht="19.5" customHeight="1">
      <c r="A69" s="13"/>
      <c r="B69" s="133"/>
      <c r="C69" s="34" t="s">
        <v>186</v>
      </c>
      <c r="D69" s="11">
        <f>INT(Q72/1000)</f>
        <v>18180</v>
      </c>
      <c r="E69" s="14">
        <v>14002</v>
      </c>
      <c r="F69" s="48">
        <f>D69-E69</f>
        <v>4178</v>
      </c>
      <c r="G69" s="136"/>
      <c r="H69" s="88"/>
      <c r="I69" s="89"/>
      <c r="J69" s="89"/>
      <c r="K69" s="88"/>
      <c r="L69" s="90"/>
      <c r="M69" s="89"/>
      <c r="N69" s="91"/>
      <c r="O69" s="90"/>
      <c r="P69" s="17"/>
      <c r="Q69" s="92"/>
    </row>
    <row r="70" spans="1:17" ht="19.5" customHeight="1">
      <c r="A70" s="13"/>
      <c r="B70" s="134"/>
      <c r="C70" s="34"/>
      <c r="D70" s="13"/>
      <c r="E70" s="19"/>
      <c r="F70" s="49"/>
      <c r="G70" s="46" t="s">
        <v>187</v>
      </c>
      <c r="H70" s="30">
        <v>1068000</v>
      </c>
      <c r="I70" s="31" t="s">
        <v>188</v>
      </c>
      <c r="J70" s="31" t="s">
        <v>189</v>
      </c>
      <c r="K70" s="30">
        <v>12</v>
      </c>
      <c r="L70" s="51" t="s">
        <v>190</v>
      </c>
      <c r="M70" s="31"/>
      <c r="N70" s="32"/>
      <c r="O70" s="51"/>
      <c r="P70" s="54" t="s">
        <v>191</v>
      </c>
      <c r="Q70" s="63">
        <f>H70*K70</f>
        <v>12816000</v>
      </c>
    </row>
    <row r="71" spans="1:17" ht="19.5" customHeight="1">
      <c r="A71" s="13"/>
      <c r="B71" s="134"/>
      <c r="C71" s="34"/>
      <c r="D71" s="13"/>
      <c r="E71" s="19"/>
      <c r="F71" s="49"/>
      <c r="G71" s="46" t="s">
        <v>192</v>
      </c>
      <c r="H71" s="30">
        <v>447000</v>
      </c>
      <c r="I71" s="31" t="s">
        <v>193</v>
      </c>
      <c r="J71" s="31" t="s">
        <v>189</v>
      </c>
      <c r="K71" s="30">
        <v>12</v>
      </c>
      <c r="L71" s="51" t="s">
        <v>190</v>
      </c>
      <c r="M71" s="31"/>
      <c r="N71" s="32"/>
      <c r="O71" s="51"/>
      <c r="P71" s="54" t="s">
        <v>191</v>
      </c>
      <c r="Q71" s="63">
        <f>H71*K71</f>
        <v>5364000</v>
      </c>
    </row>
    <row r="72" spans="1:17" ht="19.5" customHeight="1">
      <c r="A72" s="13"/>
      <c r="B72" s="134"/>
      <c r="C72" s="137"/>
      <c r="D72" s="39"/>
      <c r="E72" s="24"/>
      <c r="F72" s="47"/>
      <c r="G72" s="341" t="s">
        <v>194</v>
      </c>
      <c r="H72" s="342"/>
      <c r="I72" s="342"/>
      <c r="J72" s="342"/>
      <c r="K72" s="342"/>
      <c r="L72" s="342"/>
      <c r="M72" s="342"/>
      <c r="N72" s="342"/>
      <c r="O72" s="342"/>
      <c r="P72" s="342"/>
      <c r="Q72" s="141">
        <f>SUM(Q70:Q71)</f>
        <v>18180000</v>
      </c>
    </row>
    <row r="73" spans="1:17" ht="18" customHeight="1">
      <c r="A73" s="13"/>
      <c r="B73" s="19"/>
      <c r="C73" s="135" t="s">
        <v>195</v>
      </c>
      <c r="D73" s="11">
        <f>INT(Q78/1000)</f>
        <v>7848</v>
      </c>
      <c r="E73" s="70">
        <v>6716</v>
      </c>
      <c r="F73" s="48">
        <f>+D73-E73</f>
        <v>1132</v>
      </c>
      <c r="G73" s="44"/>
      <c r="H73" s="17"/>
      <c r="I73" s="17"/>
      <c r="J73" s="17"/>
      <c r="K73" s="17"/>
      <c r="L73" s="33"/>
      <c r="M73" s="17"/>
      <c r="N73" s="17"/>
      <c r="O73" s="33"/>
      <c r="P73" s="17"/>
      <c r="Q73" s="61"/>
    </row>
    <row r="74" spans="1:17" ht="19.5" customHeight="1">
      <c r="A74" s="13"/>
      <c r="B74" s="134"/>
      <c r="C74" s="34"/>
      <c r="D74" s="13"/>
      <c r="E74" s="19"/>
      <c r="F74" s="49"/>
      <c r="G74" s="46" t="s">
        <v>196</v>
      </c>
      <c r="H74" s="30">
        <v>439000</v>
      </c>
      <c r="I74" s="31" t="s">
        <v>188</v>
      </c>
      <c r="J74" s="31" t="s">
        <v>189</v>
      </c>
      <c r="K74" s="30">
        <v>12</v>
      </c>
      <c r="L74" s="51" t="s">
        <v>190</v>
      </c>
      <c r="M74" s="31"/>
      <c r="N74" s="32"/>
      <c r="O74" s="51"/>
      <c r="P74" s="54" t="s">
        <v>191</v>
      </c>
      <c r="Q74" s="63">
        <f>ROUNDUP(H74*K74,-3)</f>
        <v>5268000</v>
      </c>
    </row>
    <row r="75" spans="1:17" ht="19.5" customHeight="1">
      <c r="A75" s="13"/>
      <c r="B75" s="134"/>
      <c r="C75" s="34"/>
      <c r="D75" s="13"/>
      <c r="E75" s="19"/>
      <c r="F75" s="49"/>
      <c r="G75" s="46" t="s">
        <v>197</v>
      </c>
      <c r="H75" s="30">
        <v>29000</v>
      </c>
      <c r="I75" s="31" t="s">
        <v>188</v>
      </c>
      <c r="J75" s="31" t="s">
        <v>189</v>
      </c>
      <c r="K75" s="30">
        <v>12</v>
      </c>
      <c r="L75" s="51" t="s">
        <v>190</v>
      </c>
      <c r="M75" s="31"/>
      <c r="N75" s="32"/>
      <c r="O75" s="51"/>
      <c r="P75" s="54" t="s">
        <v>191</v>
      </c>
      <c r="Q75" s="63">
        <f>ROUNDUP(H75*K75,-3)</f>
        <v>348000</v>
      </c>
    </row>
    <row r="76" spans="1:17" ht="19.5" customHeight="1">
      <c r="A76" s="13"/>
      <c r="B76" s="134"/>
      <c r="C76" s="34"/>
      <c r="D76" s="13"/>
      <c r="E76" s="19"/>
      <c r="F76" s="49"/>
      <c r="G76" s="46" t="s">
        <v>198</v>
      </c>
      <c r="H76" s="30">
        <v>174000</v>
      </c>
      <c r="I76" s="31" t="s">
        <v>188</v>
      </c>
      <c r="J76" s="31" t="s">
        <v>189</v>
      </c>
      <c r="K76" s="30">
        <v>12</v>
      </c>
      <c r="L76" s="51" t="s">
        <v>190</v>
      </c>
      <c r="M76" s="31"/>
      <c r="N76" s="32"/>
      <c r="O76" s="51"/>
      <c r="P76" s="54" t="s">
        <v>191</v>
      </c>
      <c r="Q76" s="63">
        <f>ROUNDUP(H76*K76,-3)</f>
        <v>2088000</v>
      </c>
    </row>
    <row r="77" spans="1:17" ht="19.5" customHeight="1">
      <c r="A77" s="13"/>
      <c r="B77" s="134"/>
      <c r="C77" s="34"/>
      <c r="D77" s="13"/>
      <c r="E77" s="19"/>
      <c r="F77" s="49"/>
      <c r="G77" s="46" t="s">
        <v>199</v>
      </c>
      <c r="H77" s="30">
        <v>12000</v>
      </c>
      <c r="I77" s="31" t="s">
        <v>193</v>
      </c>
      <c r="J77" s="31" t="s">
        <v>189</v>
      </c>
      <c r="K77" s="30">
        <v>12</v>
      </c>
      <c r="L77" s="51" t="s">
        <v>190</v>
      </c>
      <c r="M77" s="31"/>
      <c r="N77" s="32"/>
      <c r="O77" s="51"/>
      <c r="P77" s="54" t="s">
        <v>191</v>
      </c>
      <c r="Q77" s="63">
        <f>ROUNDUP(H77*K77,-3)</f>
        <v>144000</v>
      </c>
    </row>
    <row r="78" spans="1:17" ht="18" customHeight="1">
      <c r="A78" s="13"/>
      <c r="B78" s="301"/>
      <c r="C78" s="25"/>
      <c r="D78" s="39"/>
      <c r="E78" s="24"/>
      <c r="F78" s="47"/>
      <c r="G78" s="338" t="s">
        <v>28</v>
      </c>
      <c r="H78" s="338"/>
      <c r="I78" s="338"/>
      <c r="J78" s="338"/>
      <c r="K78" s="338"/>
      <c r="L78" s="338"/>
      <c r="M78" s="338"/>
      <c r="N78" s="338"/>
      <c r="O78" s="338"/>
      <c r="P78" s="338"/>
      <c r="Q78" s="97">
        <f>SUM(Q74:Q77)</f>
        <v>7848000</v>
      </c>
    </row>
    <row r="79" spans="1:17" ht="18" customHeight="1">
      <c r="A79" s="13"/>
      <c r="B79" s="301"/>
      <c r="C79" s="93" t="s">
        <v>200</v>
      </c>
      <c r="D79" s="11">
        <f>INT(Q82/1000)</f>
        <v>1248</v>
      </c>
      <c r="E79" s="14">
        <v>970</v>
      </c>
      <c r="F79" s="48">
        <f>+D79-E79</f>
        <v>278</v>
      </c>
      <c r="G79" s="44"/>
      <c r="H79" s="17"/>
      <c r="I79" s="17"/>
      <c r="J79" s="17"/>
      <c r="K79" s="17"/>
      <c r="L79" s="33"/>
      <c r="M79" s="17"/>
      <c r="N79" s="17"/>
      <c r="O79" s="33"/>
      <c r="P79" s="17"/>
      <c r="Q79" s="61"/>
    </row>
    <row r="80" spans="1:17" ht="19.5" customHeight="1">
      <c r="A80" s="13"/>
      <c r="B80" s="301"/>
      <c r="C80" s="34"/>
      <c r="D80" s="13"/>
      <c r="E80" s="19"/>
      <c r="F80" s="49"/>
      <c r="G80" s="46" t="s">
        <v>201</v>
      </c>
      <c r="H80" s="30">
        <v>83000</v>
      </c>
      <c r="I80" s="31" t="s">
        <v>188</v>
      </c>
      <c r="J80" s="31" t="s">
        <v>189</v>
      </c>
      <c r="K80" s="30">
        <v>12</v>
      </c>
      <c r="L80" s="51" t="s">
        <v>190</v>
      </c>
      <c r="M80" s="31"/>
      <c r="N80" s="32"/>
      <c r="O80" s="51"/>
      <c r="P80" s="54" t="s">
        <v>191</v>
      </c>
      <c r="Q80" s="63">
        <f>H80*K80</f>
        <v>996000</v>
      </c>
    </row>
    <row r="81" spans="1:17" ht="19.5" customHeight="1">
      <c r="A81" s="13"/>
      <c r="B81" s="301"/>
      <c r="C81" s="34"/>
      <c r="D81" s="13"/>
      <c r="E81" s="19"/>
      <c r="F81" s="49"/>
      <c r="G81" s="46" t="s">
        <v>202</v>
      </c>
      <c r="H81" s="30">
        <v>21000</v>
      </c>
      <c r="I81" s="31" t="s">
        <v>193</v>
      </c>
      <c r="J81" s="31" t="s">
        <v>189</v>
      </c>
      <c r="K81" s="30">
        <v>12</v>
      </c>
      <c r="L81" s="51" t="s">
        <v>190</v>
      </c>
      <c r="M81" s="31"/>
      <c r="N81" s="32"/>
      <c r="O81" s="51"/>
      <c r="P81" s="54" t="s">
        <v>191</v>
      </c>
      <c r="Q81" s="63">
        <f>H81*K81</f>
        <v>252000</v>
      </c>
    </row>
    <row r="82" spans="1:17" ht="18" customHeight="1">
      <c r="A82" s="13"/>
      <c r="B82" s="301"/>
      <c r="C82" s="25"/>
      <c r="D82" s="39"/>
      <c r="E82" s="24"/>
      <c r="F82" s="47"/>
      <c r="G82" s="338" t="s">
        <v>28</v>
      </c>
      <c r="H82" s="338"/>
      <c r="I82" s="338"/>
      <c r="J82" s="338"/>
      <c r="K82" s="338"/>
      <c r="L82" s="338"/>
      <c r="M82" s="338"/>
      <c r="N82" s="338"/>
      <c r="O82" s="338"/>
      <c r="P82" s="338"/>
      <c r="Q82" s="97">
        <f>SUM(Q80:Q81)</f>
        <v>1248000</v>
      </c>
    </row>
    <row r="83" spans="1:17" ht="18" customHeight="1">
      <c r="A83" s="13"/>
      <c r="B83" s="301"/>
      <c r="C83" s="135" t="s">
        <v>396</v>
      </c>
      <c r="D83" s="11">
        <f>INT(Q94/1000)</f>
        <v>28186</v>
      </c>
      <c r="E83" s="70">
        <v>25978</v>
      </c>
      <c r="F83" s="48">
        <f>+D83-E83</f>
        <v>2208</v>
      </c>
      <c r="G83" s="44"/>
      <c r="H83" s="17"/>
      <c r="I83" s="17"/>
      <c r="J83" s="17"/>
      <c r="K83" s="17"/>
      <c r="L83" s="33"/>
      <c r="M83" s="17"/>
      <c r="N83" s="17"/>
      <c r="O83" s="33"/>
      <c r="P83" s="17"/>
      <c r="Q83" s="61"/>
    </row>
    <row r="84" spans="1:17" ht="19.5" customHeight="1">
      <c r="A84" s="13"/>
      <c r="B84" s="301"/>
      <c r="C84" s="34"/>
      <c r="D84" s="13"/>
      <c r="E84" s="19"/>
      <c r="F84" s="49"/>
      <c r="G84" s="46" t="s">
        <v>206</v>
      </c>
      <c r="H84" s="30">
        <v>1021000</v>
      </c>
      <c r="I84" s="31" t="s">
        <v>188</v>
      </c>
      <c r="J84" s="31" t="s">
        <v>189</v>
      </c>
      <c r="K84" s="30">
        <v>12</v>
      </c>
      <c r="L84" s="51" t="s">
        <v>190</v>
      </c>
      <c r="M84" s="31"/>
      <c r="N84" s="32"/>
      <c r="O84" s="51"/>
      <c r="P84" s="54" t="s">
        <v>191</v>
      </c>
      <c r="Q84" s="63">
        <f>ROUNDUP(H84*K84,-3)</f>
        <v>12252000</v>
      </c>
    </row>
    <row r="85" spans="1:17" ht="19.5" customHeight="1">
      <c r="A85" s="13"/>
      <c r="B85" s="301"/>
      <c r="C85" s="34"/>
      <c r="D85" s="13"/>
      <c r="E85" s="19"/>
      <c r="F85" s="49"/>
      <c r="G85" s="46" t="s">
        <v>207</v>
      </c>
      <c r="H85" s="30">
        <v>82000</v>
      </c>
      <c r="I85" s="31" t="s">
        <v>188</v>
      </c>
      <c r="J85" s="31" t="s">
        <v>189</v>
      </c>
      <c r="K85" s="30">
        <v>12</v>
      </c>
      <c r="L85" s="51" t="s">
        <v>190</v>
      </c>
      <c r="M85" s="31"/>
      <c r="N85" s="32"/>
      <c r="O85" s="51"/>
      <c r="P85" s="54" t="s">
        <v>191</v>
      </c>
      <c r="Q85" s="63">
        <f aca="true" t="shared" si="0" ref="Q85:Q93">H85*K85</f>
        <v>984000</v>
      </c>
    </row>
    <row r="86" spans="1:17" ht="19.5" customHeight="1">
      <c r="A86" s="13"/>
      <c r="B86" s="301"/>
      <c r="C86" s="34"/>
      <c r="D86" s="13"/>
      <c r="E86" s="19"/>
      <c r="F86" s="49"/>
      <c r="G86" s="46" t="s">
        <v>196</v>
      </c>
      <c r="H86" s="30">
        <v>417000</v>
      </c>
      <c r="I86" s="31" t="s">
        <v>188</v>
      </c>
      <c r="J86" s="31" t="s">
        <v>189</v>
      </c>
      <c r="K86" s="30">
        <v>12</v>
      </c>
      <c r="L86" s="51" t="s">
        <v>190</v>
      </c>
      <c r="M86" s="31"/>
      <c r="N86" s="32"/>
      <c r="O86" s="51"/>
      <c r="P86" s="54" t="s">
        <v>191</v>
      </c>
      <c r="Q86" s="63">
        <f>ROUNDUP(H86*K86,-3)</f>
        <v>5004000</v>
      </c>
    </row>
    <row r="87" spans="1:17" ht="19.5" customHeight="1">
      <c r="A87" s="13"/>
      <c r="B87" s="301"/>
      <c r="C87" s="34"/>
      <c r="D87" s="13"/>
      <c r="E87" s="19"/>
      <c r="F87" s="49"/>
      <c r="G87" s="46" t="s">
        <v>197</v>
      </c>
      <c r="H87" s="30">
        <v>28000</v>
      </c>
      <c r="I87" s="31" t="s">
        <v>188</v>
      </c>
      <c r="J87" s="31" t="s">
        <v>189</v>
      </c>
      <c r="K87" s="30">
        <v>12</v>
      </c>
      <c r="L87" s="51" t="s">
        <v>190</v>
      </c>
      <c r="M87" s="31"/>
      <c r="N87" s="32"/>
      <c r="O87" s="51"/>
      <c r="P87" s="54" t="s">
        <v>191</v>
      </c>
      <c r="Q87" s="63">
        <f>ROUNDDOWN(H87*K87,-3)</f>
        <v>336000</v>
      </c>
    </row>
    <row r="88" spans="1:17" ht="19.5" customHeight="1">
      <c r="A88" s="13"/>
      <c r="B88" s="101"/>
      <c r="C88" s="34"/>
      <c r="D88" s="13"/>
      <c r="E88" s="19"/>
      <c r="F88" s="49"/>
      <c r="G88" s="46" t="s">
        <v>198</v>
      </c>
      <c r="H88" s="30">
        <v>173000</v>
      </c>
      <c r="I88" s="31" t="s">
        <v>188</v>
      </c>
      <c r="J88" s="31" t="s">
        <v>189</v>
      </c>
      <c r="K88" s="30">
        <v>12</v>
      </c>
      <c r="L88" s="51" t="s">
        <v>190</v>
      </c>
      <c r="M88" s="31"/>
      <c r="N88" s="32"/>
      <c r="O88" s="51"/>
      <c r="P88" s="54" t="s">
        <v>191</v>
      </c>
      <c r="Q88" s="63">
        <f t="shared" si="0"/>
        <v>2076000</v>
      </c>
    </row>
    <row r="89" spans="1:17" ht="19.5" customHeight="1">
      <c r="A89" s="13"/>
      <c r="B89" s="101"/>
      <c r="C89" s="34"/>
      <c r="D89" s="13"/>
      <c r="E89" s="19"/>
      <c r="F89" s="49"/>
      <c r="G89" s="46" t="s">
        <v>199</v>
      </c>
      <c r="H89" s="30">
        <v>12000</v>
      </c>
      <c r="I89" s="31" t="s">
        <v>188</v>
      </c>
      <c r="J89" s="31" t="s">
        <v>189</v>
      </c>
      <c r="K89" s="30">
        <v>12</v>
      </c>
      <c r="L89" s="51" t="s">
        <v>190</v>
      </c>
      <c r="M89" s="31"/>
      <c r="N89" s="32"/>
      <c r="O89" s="51"/>
      <c r="P89" s="54" t="s">
        <v>191</v>
      </c>
      <c r="Q89" s="63">
        <f t="shared" si="0"/>
        <v>144000</v>
      </c>
    </row>
    <row r="90" spans="1:17" ht="19.5" customHeight="1">
      <c r="A90" s="13"/>
      <c r="B90" s="134"/>
      <c r="C90" s="34"/>
      <c r="D90" s="13"/>
      <c r="E90" s="19"/>
      <c r="F90" s="49"/>
      <c r="G90" s="46" t="s">
        <v>208</v>
      </c>
      <c r="H90" s="30">
        <v>310166</v>
      </c>
      <c r="I90" s="31" t="s">
        <v>188</v>
      </c>
      <c r="J90" s="31" t="s">
        <v>189</v>
      </c>
      <c r="K90" s="30">
        <v>12</v>
      </c>
      <c r="L90" s="51" t="s">
        <v>190</v>
      </c>
      <c r="M90" s="31"/>
      <c r="N90" s="32"/>
      <c r="O90" s="51"/>
      <c r="P90" s="54" t="s">
        <v>191</v>
      </c>
      <c r="Q90" s="63">
        <f>ROUNDUP(H90*K90,-3)</f>
        <v>3722000</v>
      </c>
    </row>
    <row r="91" spans="1:17" ht="19.5" customHeight="1">
      <c r="A91" s="13"/>
      <c r="B91" s="134"/>
      <c r="C91" s="34"/>
      <c r="D91" s="13"/>
      <c r="E91" s="19"/>
      <c r="F91" s="49"/>
      <c r="G91" s="46" t="s">
        <v>209</v>
      </c>
      <c r="H91" s="30">
        <v>77666</v>
      </c>
      <c r="I91" s="31" t="s">
        <v>188</v>
      </c>
      <c r="J91" s="31" t="s">
        <v>189</v>
      </c>
      <c r="K91" s="30">
        <v>12</v>
      </c>
      <c r="L91" s="51" t="s">
        <v>190</v>
      </c>
      <c r="M91" s="31"/>
      <c r="N91" s="32"/>
      <c r="O91" s="51"/>
      <c r="P91" s="54" t="s">
        <v>191</v>
      </c>
      <c r="Q91" s="63">
        <f>ROUNDUP(H91*K91,-1)</f>
        <v>932000</v>
      </c>
    </row>
    <row r="92" spans="1:17" ht="19.5" customHeight="1">
      <c r="A92" s="13"/>
      <c r="B92" s="134"/>
      <c r="C92" s="34"/>
      <c r="D92" s="13"/>
      <c r="E92" s="19"/>
      <c r="F92" s="49"/>
      <c r="G92" s="46" t="s">
        <v>210</v>
      </c>
      <c r="H92" s="30">
        <v>182000</v>
      </c>
      <c r="I92" s="31" t="s">
        <v>188</v>
      </c>
      <c r="J92" s="31" t="s">
        <v>189</v>
      </c>
      <c r="K92" s="30">
        <v>12</v>
      </c>
      <c r="L92" s="51" t="s">
        <v>190</v>
      </c>
      <c r="M92" s="31"/>
      <c r="N92" s="32"/>
      <c r="O92" s="51"/>
      <c r="P92" s="54" t="s">
        <v>191</v>
      </c>
      <c r="Q92" s="63">
        <f t="shared" si="0"/>
        <v>2184000</v>
      </c>
    </row>
    <row r="93" spans="1:17" ht="19.5" customHeight="1">
      <c r="A93" s="13"/>
      <c r="B93" s="134"/>
      <c r="C93" s="34"/>
      <c r="D93" s="13"/>
      <c r="E93" s="19"/>
      <c r="F93" s="49"/>
      <c r="G93" s="46" t="s">
        <v>211</v>
      </c>
      <c r="H93" s="30">
        <v>46000</v>
      </c>
      <c r="I93" s="31" t="s">
        <v>193</v>
      </c>
      <c r="J93" s="31" t="s">
        <v>189</v>
      </c>
      <c r="K93" s="30">
        <v>12</v>
      </c>
      <c r="L93" s="51" t="s">
        <v>190</v>
      </c>
      <c r="M93" s="31"/>
      <c r="N93" s="32"/>
      <c r="O93" s="51"/>
      <c r="P93" s="54" t="s">
        <v>191</v>
      </c>
      <c r="Q93" s="63">
        <f t="shared" si="0"/>
        <v>552000</v>
      </c>
    </row>
    <row r="94" spans="1:17" ht="18" customHeight="1">
      <c r="A94" s="13"/>
      <c r="B94" s="19"/>
      <c r="C94" s="25"/>
      <c r="D94" s="39"/>
      <c r="E94" s="24"/>
      <c r="F94" s="47"/>
      <c r="G94" s="338" t="s">
        <v>28</v>
      </c>
      <c r="H94" s="338"/>
      <c r="I94" s="338"/>
      <c r="J94" s="338"/>
      <c r="K94" s="338"/>
      <c r="L94" s="338"/>
      <c r="M94" s="338"/>
      <c r="N94" s="338"/>
      <c r="O94" s="338"/>
      <c r="P94" s="338"/>
      <c r="Q94" s="97">
        <f>SUM(Q84:Q93)</f>
        <v>28186000</v>
      </c>
    </row>
    <row r="95" spans="1:17" ht="18" customHeight="1">
      <c r="A95" s="158"/>
      <c r="B95" s="340" t="s">
        <v>395</v>
      </c>
      <c r="C95" s="339"/>
      <c r="D95" s="204">
        <f>SUM(D96+D100+D104+D108+D112+D117+D121+D128)</f>
        <v>186924</v>
      </c>
      <c r="E95" s="129">
        <f>SUM(E96+E100+E104+E108+E112+E117+E121+E128)</f>
        <v>164053</v>
      </c>
      <c r="F95" s="155">
        <f>SUM(F96+F100+F104+F108+F112+F117+F121)</f>
        <v>22871</v>
      </c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60"/>
    </row>
    <row r="96" spans="1:17" ht="18" customHeight="1">
      <c r="A96" s="158"/>
      <c r="B96" s="133"/>
      <c r="C96" s="34" t="s">
        <v>212</v>
      </c>
      <c r="D96" s="13">
        <f>INT(Q99/1000)</f>
        <v>83220</v>
      </c>
      <c r="E96" s="69">
        <v>75000</v>
      </c>
      <c r="F96" s="49">
        <f>D96-E96</f>
        <v>8220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62"/>
    </row>
    <row r="97" spans="1:17" ht="18" customHeight="1">
      <c r="A97" s="13"/>
      <c r="B97" s="19"/>
      <c r="C97" s="43"/>
      <c r="D97" s="13"/>
      <c r="E97" s="19"/>
      <c r="F97" s="49"/>
      <c r="G97" s="46" t="s">
        <v>213</v>
      </c>
      <c r="H97" s="30"/>
      <c r="I97" s="31"/>
      <c r="J97" s="31"/>
      <c r="K97" s="30"/>
      <c r="L97" s="51"/>
      <c r="M97" s="31"/>
      <c r="N97" s="32"/>
      <c r="O97" s="51"/>
      <c r="P97" s="27"/>
      <c r="Q97" s="63"/>
    </row>
    <row r="98" spans="1:17" ht="18" customHeight="1">
      <c r="A98" s="13"/>
      <c r="B98" s="19"/>
      <c r="C98" s="43"/>
      <c r="D98" s="13"/>
      <c r="E98" s="19"/>
      <c r="F98" s="49"/>
      <c r="G98" s="46" t="s">
        <v>214</v>
      </c>
      <c r="H98" s="30">
        <v>1733750</v>
      </c>
      <c r="I98" s="31" t="s">
        <v>178</v>
      </c>
      <c r="J98" s="31" t="s">
        <v>172</v>
      </c>
      <c r="K98" s="30">
        <v>4</v>
      </c>
      <c r="L98" s="205" t="s">
        <v>173</v>
      </c>
      <c r="M98" s="31" t="s">
        <v>172</v>
      </c>
      <c r="N98" s="32">
        <v>12</v>
      </c>
      <c r="O98" s="51" t="s">
        <v>174</v>
      </c>
      <c r="P98" s="27" t="s">
        <v>175</v>
      </c>
      <c r="Q98" s="63">
        <f>ROUNDUP(H98*K98*N98,-3)</f>
        <v>83220000</v>
      </c>
    </row>
    <row r="99" spans="1:17" ht="15" customHeight="1">
      <c r="A99" s="13"/>
      <c r="B99" s="19"/>
      <c r="C99" s="25"/>
      <c r="D99" s="39"/>
      <c r="E99" s="24"/>
      <c r="F99" s="47"/>
      <c r="G99" s="338" t="s">
        <v>28</v>
      </c>
      <c r="H99" s="338"/>
      <c r="I99" s="338"/>
      <c r="J99" s="338"/>
      <c r="K99" s="338"/>
      <c r="L99" s="338"/>
      <c r="M99" s="338"/>
      <c r="N99" s="338"/>
      <c r="O99" s="338"/>
      <c r="P99" s="338"/>
      <c r="Q99" s="97">
        <f>SUM(Q97:Q98)</f>
        <v>83220000</v>
      </c>
    </row>
    <row r="100" spans="1:17" ht="18" customHeight="1">
      <c r="A100" s="158"/>
      <c r="B100" s="134"/>
      <c r="C100" s="182" t="s">
        <v>215</v>
      </c>
      <c r="D100" s="13">
        <f>INT(Q103/1000)</f>
        <v>7044</v>
      </c>
      <c r="E100" s="69">
        <v>5924</v>
      </c>
      <c r="F100" s="49">
        <f>D100-E100</f>
        <v>1120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62"/>
    </row>
    <row r="101" spans="1:17" ht="18" customHeight="1">
      <c r="A101" s="158"/>
      <c r="B101" s="134"/>
      <c r="C101" s="34"/>
      <c r="D101" s="13"/>
      <c r="E101" s="69"/>
      <c r="F101" s="49"/>
      <c r="G101" s="46" t="s">
        <v>216</v>
      </c>
      <c r="H101" s="30">
        <v>136333</v>
      </c>
      <c r="I101" s="31" t="s">
        <v>178</v>
      </c>
      <c r="J101" s="31" t="s">
        <v>172</v>
      </c>
      <c r="K101" s="30">
        <v>4</v>
      </c>
      <c r="L101" s="51" t="s">
        <v>173</v>
      </c>
      <c r="M101" s="31" t="s">
        <v>172</v>
      </c>
      <c r="N101" s="32">
        <v>12</v>
      </c>
      <c r="O101" s="51" t="s">
        <v>174</v>
      </c>
      <c r="P101" s="27" t="s">
        <v>175</v>
      </c>
      <c r="Q101" s="63">
        <f>ROUNDUP(H101*K101*N101,-3)</f>
        <v>6544000</v>
      </c>
    </row>
    <row r="102" spans="1:17" ht="18" customHeight="1">
      <c r="A102" s="158"/>
      <c r="B102" s="134"/>
      <c r="C102" s="34"/>
      <c r="D102" s="13"/>
      <c r="E102" s="69"/>
      <c r="F102" s="49"/>
      <c r="G102" s="46" t="s">
        <v>217</v>
      </c>
      <c r="H102" s="30">
        <v>41666</v>
      </c>
      <c r="I102" s="31" t="s">
        <v>178</v>
      </c>
      <c r="J102" s="31" t="s">
        <v>172</v>
      </c>
      <c r="K102" s="30">
        <v>1</v>
      </c>
      <c r="L102" s="205" t="s">
        <v>173</v>
      </c>
      <c r="M102" s="31" t="s">
        <v>172</v>
      </c>
      <c r="N102" s="32">
        <v>12</v>
      </c>
      <c r="O102" s="51" t="s">
        <v>174</v>
      </c>
      <c r="P102" s="27" t="s">
        <v>175</v>
      </c>
      <c r="Q102" s="63">
        <f>ROUNDUP(H102*K102*N102,-3)</f>
        <v>500000</v>
      </c>
    </row>
    <row r="103" spans="1:17" ht="18" customHeight="1">
      <c r="A103" s="13"/>
      <c r="B103" s="19"/>
      <c r="C103" s="25"/>
      <c r="D103" s="39"/>
      <c r="E103" s="24"/>
      <c r="F103" s="47"/>
      <c r="G103" s="338" t="s">
        <v>28</v>
      </c>
      <c r="H103" s="338"/>
      <c r="I103" s="338"/>
      <c r="J103" s="338"/>
      <c r="K103" s="338"/>
      <c r="L103" s="338"/>
      <c r="M103" s="338"/>
      <c r="N103" s="338"/>
      <c r="O103" s="338"/>
      <c r="P103" s="338"/>
      <c r="Q103" s="97">
        <f>SUM(Q101:Q102)</f>
        <v>7044000</v>
      </c>
    </row>
    <row r="104" spans="1:17" ht="18" customHeight="1">
      <c r="A104" s="158"/>
      <c r="B104" s="134"/>
      <c r="C104" s="182" t="s">
        <v>218</v>
      </c>
      <c r="D104" s="13">
        <f>INT(Q107/1000)</f>
        <v>4500</v>
      </c>
      <c r="E104" s="69">
        <v>3930</v>
      </c>
      <c r="F104" s="49">
        <f>D104-E104</f>
        <v>570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62"/>
    </row>
    <row r="105" spans="1:17" ht="18" customHeight="1">
      <c r="A105" s="158"/>
      <c r="B105" s="134"/>
      <c r="C105" s="34"/>
      <c r="D105" s="13"/>
      <c r="E105" s="69"/>
      <c r="F105" s="49"/>
      <c r="G105" s="46" t="s">
        <v>219</v>
      </c>
      <c r="H105" s="30">
        <v>125000</v>
      </c>
      <c r="I105" s="31" t="s">
        <v>178</v>
      </c>
      <c r="J105" s="31" t="s">
        <v>172</v>
      </c>
      <c r="K105" s="30">
        <v>1</v>
      </c>
      <c r="L105" s="51" t="s">
        <v>173</v>
      </c>
      <c r="M105" s="31" t="s">
        <v>172</v>
      </c>
      <c r="N105" s="32">
        <v>12</v>
      </c>
      <c r="O105" s="51" t="s">
        <v>174</v>
      </c>
      <c r="P105" s="27" t="s">
        <v>175</v>
      </c>
      <c r="Q105" s="63">
        <f>H105*K105*N105</f>
        <v>1500000</v>
      </c>
    </row>
    <row r="106" spans="1:17" ht="18" customHeight="1">
      <c r="A106" s="158"/>
      <c r="B106" s="134"/>
      <c r="C106" s="34"/>
      <c r="D106" s="13"/>
      <c r="E106" s="69"/>
      <c r="F106" s="49"/>
      <c r="G106" s="46" t="s">
        <v>220</v>
      </c>
      <c r="H106" s="30">
        <v>250000</v>
      </c>
      <c r="I106" s="31" t="s">
        <v>178</v>
      </c>
      <c r="J106" s="31" t="s">
        <v>172</v>
      </c>
      <c r="K106" s="30">
        <v>1</v>
      </c>
      <c r="L106" s="51" t="s">
        <v>173</v>
      </c>
      <c r="M106" s="31" t="s">
        <v>172</v>
      </c>
      <c r="N106" s="32">
        <v>12</v>
      </c>
      <c r="O106" s="51" t="s">
        <v>221</v>
      </c>
      <c r="P106" s="27" t="s">
        <v>175</v>
      </c>
      <c r="Q106" s="63">
        <f>H106*K106*N106</f>
        <v>3000000</v>
      </c>
    </row>
    <row r="107" spans="1:17" ht="18" customHeight="1">
      <c r="A107" s="13"/>
      <c r="B107" s="19"/>
      <c r="C107" s="25"/>
      <c r="D107" s="39"/>
      <c r="E107" s="24"/>
      <c r="F107" s="47"/>
      <c r="G107" s="338" t="s">
        <v>28</v>
      </c>
      <c r="H107" s="338"/>
      <c r="I107" s="338"/>
      <c r="J107" s="338"/>
      <c r="K107" s="338"/>
      <c r="L107" s="338"/>
      <c r="M107" s="338"/>
      <c r="N107" s="338"/>
      <c r="O107" s="338"/>
      <c r="P107" s="338"/>
      <c r="Q107" s="97">
        <f>SUM(Q105:Q106)</f>
        <v>4500000</v>
      </c>
    </row>
    <row r="108" spans="1:17" ht="18" customHeight="1">
      <c r="A108" s="158"/>
      <c r="B108" s="133"/>
      <c r="C108" s="182" t="s">
        <v>222</v>
      </c>
      <c r="D108" s="11">
        <f>INT(Q111/1000)</f>
        <v>19275</v>
      </c>
      <c r="E108" s="69">
        <v>18166</v>
      </c>
      <c r="F108" s="49">
        <f>D108-E108</f>
        <v>1109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62"/>
    </row>
    <row r="109" spans="1:17" ht="19.5" customHeight="1">
      <c r="A109" s="13"/>
      <c r="B109" s="134"/>
      <c r="C109" s="34"/>
      <c r="D109" s="13"/>
      <c r="E109" s="19"/>
      <c r="F109" s="49"/>
      <c r="G109" s="46" t="s">
        <v>223</v>
      </c>
      <c r="H109" s="30">
        <v>130000</v>
      </c>
      <c r="I109" s="31" t="s">
        <v>178</v>
      </c>
      <c r="J109" s="31" t="s">
        <v>172</v>
      </c>
      <c r="K109" s="183">
        <v>1</v>
      </c>
      <c r="L109" s="190" t="s">
        <v>224</v>
      </c>
      <c r="M109" s="83" t="s">
        <v>225</v>
      </c>
      <c r="N109" s="183">
        <v>12</v>
      </c>
      <c r="O109" s="34" t="s">
        <v>221</v>
      </c>
      <c r="P109" s="54" t="s">
        <v>175</v>
      </c>
      <c r="Q109" s="63">
        <f>H109*K109*N109</f>
        <v>1560000</v>
      </c>
    </row>
    <row r="110" spans="1:17" ht="19.5" customHeight="1">
      <c r="A110" s="13"/>
      <c r="B110" s="134"/>
      <c r="C110" s="34"/>
      <c r="D110" s="13"/>
      <c r="E110" s="19"/>
      <c r="F110" s="49"/>
      <c r="G110" s="46" t="s">
        <v>226</v>
      </c>
      <c r="H110" s="30">
        <v>2214375</v>
      </c>
      <c r="I110" s="31" t="s">
        <v>171</v>
      </c>
      <c r="J110" s="31" t="s">
        <v>172</v>
      </c>
      <c r="K110" s="183">
        <v>4</v>
      </c>
      <c r="L110" s="83" t="s">
        <v>224</v>
      </c>
      <c r="M110" s="83" t="s">
        <v>225</v>
      </c>
      <c r="N110" s="183">
        <v>2</v>
      </c>
      <c r="O110" s="34" t="s">
        <v>221</v>
      </c>
      <c r="P110" s="54" t="s">
        <v>175</v>
      </c>
      <c r="Q110" s="63">
        <f>ROUNDUP(H110*K110*N110,-3)</f>
        <v>17715000</v>
      </c>
    </row>
    <row r="111" spans="1:17" ht="18" customHeight="1">
      <c r="A111" s="13"/>
      <c r="B111" s="19"/>
      <c r="C111" s="25"/>
      <c r="D111" s="39"/>
      <c r="E111" s="24"/>
      <c r="F111" s="47"/>
      <c r="G111" s="338" t="s">
        <v>28</v>
      </c>
      <c r="H111" s="338"/>
      <c r="I111" s="338"/>
      <c r="J111" s="338"/>
      <c r="K111" s="338"/>
      <c r="L111" s="338"/>
      <c r="M111" s="338"/>
      <c r="N111" s="338"/>
      <c r="O111" s="338"/>
      <c r="P111" s="338"/>
      <c r="Q111" s="97">
        <f>SUM(Q108:Q110)</f>
        <v>19275000</v>
      </c>
    </row>
    <row r="112" spans="1:17" ht="18" customHeight="1">
      <c r="A112" s="158"/>
      <c r="B112" s="133"/>
      <c r="C112" s="182" t="s">
        <v>227</v>
      </c>
      <c r="D112" s="11">
        <f>INT(Q116/1000)</f>
        <v>7146</v>
      </c>
      <c r="E112" s="69">
        <v>7812</v>
      </c>
      <c r="F112" s="49">
        <f>D112-E112</f>
        <v>-666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62"/>
    </row>
    <row r="113" spans="1:17" ht="19.5" customHeight="1">
      <c r="A113" s="13"/>
      <c r="B113" s="134"/>
      <c r="C113" s="34"/>
      <c r="D113" s="13"/>
      <c r="E113" s="19"/>
      <c r="F113" s="49"/>
      <c r="G113" s="46" t="s">
        <v>228</v>
      </c>
      <c r="H113" s="30">
        <v>130000</v>
      </c>
      <c r="I113" s="31" t="s">
        <v>178</v>
      </c>
      <c r="J113" s="31" t="s">
        <v>172</v>
      </c>
      <c r="K113" s="183">
        <v>1</v>
      </c>
      <c r="L113" s="83" t="s">
        <v>224</v>
      </c>
      <c r="M113" s="83" t="s">
        <v>225</v>
      </c>
      <c r="N113" s="183">
        <v>12</v>
      </c>
      <c r="O113" s="34" t="s">
        <v>221</v>
      </c>
      <c r="P113" s="54" t="s">
        <v>175</v>
      </c>
      <c r="Q113" s="63">
        <f>H113*K113*N113</f>
        <v>1560000</v>
      </c>
    </row>
    <row r="114" spans="1:17" ht="19.5" customHeight="1">
      <c r="A114" s="13"/>
      <c r="B114" s="134"/>
      <c r="C114" s="34"/>
      <c r="D114" s="13"/>
      <c r="E114" s="19"/>
      <c r="F114" s="49"/>
      <c r="G114" s="46" t="s">
        <v>229</v>
      </c>
      <c r="H114" s="30">
        <v>2262000</v>
      </c>
      <c r="I114" s="31" t="s">
        <v>171</v>
      </c>
      <c r="J114" s="31" t="s">
        <v>172</v>
      </c>
      <c r="K114" s="183">
        <v>1</v>
      </c>
      <c r="L114" s="83" t="s">
        <v>224</v>
      </c>
      <c r="M114" s="83" t="s">
        <v>225</v>
      </c>
      <c r="N114" s="183">
        <v>2</v>
      </c>
      <c r="O114" s="34" t="s">
        <v>221</v>
      </c>
      <c r="P114" s="54" t="s">
        <v>175</v>
      </c>
      <c r="Q114" s="63">
        <f>H114*K114*N114</f>
        <v>4524000</v>
      </c>
    </row>
    <row r="115" spans="1:17" ht="19.5" customHeight="1">
      <c r="A115" s="13"/>
      <c r="B115" s="134"/>
      <c r="C115" s="34"/>
      <c r="D115" s="13"/>
      <c r="E115" s="19"/>
      <c r="F115" s="49"/>
      <c r="G115" s="46" t="s">
        <v>230</v>
      </c>
      <c r="H115" s="30">
        <v>1062000</v>
      </c>
      <c r="I115" s="31" t="s">
        <v>178</v>
      </c>
      <c r="J115" s="31" t="s">
        <v>172</v>
      </c>
      <c r="K115" s="30">
        <v>1</v>
      </c>
      <c r="L115" s="186" t="s">
        <v>173</v>
      </c>
      <c r="M115" s="31" t="s">
        <v>172</v>
      </c>
      <c r="N115" s="32">
        <v>1</v>
      </c>
      <c r="O115" s="51" t="s">
        <v>231</v>
      </c>
      <c r="P115" s="27" t="s">
        <v>175</v>
      </c>
      <c r="Q115" s="63">
        <f>H115*K115*N115</f>
        <v>1062000</v>
      </c>
    </row>
    <row r="116" spans="1:17" ht="18" customHeight="1">
      <c r="A116" s="13"/>
      <c r="B116" s="19"/>
      <c r="C116" s="25"/>
      <c r="D116" s="39"/>
      <c r="E116" s="24"/>
      <c r="F116" s="47"/>
      <c r="G116" s="338" t="s">
        <v>28</v>
      </c>
      <c r="H116" s="338"/>
      <c r="I116" s="338"/>
      <c r="J116" s="338"/>
      <c r="K116" s="338"/>
      <c r="L116" s="338"/>
      <c r="M116" s="338"/>
      <c r="N116" s="338"/>
      <c r="O116" s="338"/>
      <c r="P116" s="338"/>
      <c r="Q116" s="97">
        <f>SUM(Q112:Q115)</f>
        <v>7146000</v>
      </c>
    </row>
    <row r="117" spans="1:17" ht="18" customHeight="1">
      <c r="A117" s="158"/>
      <c r="B117" s="134"/>
      <c r="C117" s="182" t="s">
        <v>232</v>
      </c>
      <c r="D117" s="13">
        <f>INT(Q120/1000)</f>
        <v>21151</v>
      </c>
      <c r="E117" s="69">
        <v>17777</v>
      </c>
      <c r="F117" s="49">
        <f>D117-E117</f>
        <v>3374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62"/>
    </row>
    <row r="118" spans="1:17" ht="18" customHeight="1">
      <c r="A118" s="158"/>
      <c r="B118" s="134"/>
      <c r="C118" s="34"/>
      <c r="D118" s="13"/>
      <c r="E118" s="69"/>
      <c r="F118" s="49"/>
      <c r="G118" s="46" t="s">
        <v>233</v>
      </c>
      <c r="H118" s="30">
        <v>4319000</v>
      </c>
      <c r="I118" s="31" t="s">
        <v>178</v>
      </c>
      <c r="J118" s="31" t="s">
        <v>172</v>
      </c>
      <c r="K118" s="30">
        <v>4</v>
      </c>
      <c r="L118" s="51" t="s">
        <v>173</v>
      </c>
      <c r="M118" s="31" t="s">
        <v>172</v>
      </c>
      <c r="N118" s="32">
        <v>1</v>
      </c>
      <c r="O118" s="51" t="s">
        <v>231</v>
      </c>
      <c r="P118" s="27" t="s">
        <v>175</v>
      </c>
      <c r="Q118" s="63">
        <f>H118*K118*N118</f>
        <v>17276000</v>
      </c>
    </row>
    <row r="119" spans="1:17" ht="18" customHeight="1">
      <c r="A119" s="158"/>
      <c r="B119" s="134"/>
      <c r="C119" s="34"/>
      <c r="D119" s="13"/>
      <c r="E119" s="69"/>
      <c r="F119" s="49"/>
      <c r="G119" s="46" t="s">
        <v>234</v>
      </c>
      <c r="H119" s="30">
        <v>3875000</v>
      </c>
      <c r="I119" s="31" t="s">
        <v>178</v>
      </c>
      <c r="J119" s="31" t="s">
        <v>172</v>
      </c>
      <c r="K119" s="30">
        <v>1</v>
      </c>
      <c r="L119" s="51" t="s">
        <v>173</v>
      </c>
      <c r="M119" s="31" t="s">
        <v>172</v>
      </c>
      <c r="N119" s="32">
        <v>1</v>
      </c>
      <c r="O119" s="51" t="s">
        <v>235</v>
      </c>
      <c r="P119" s="27" t="s">
        <v>175</v>
      </c>
      <c r="Q119" s="63">
        <f>H119*K119*N119</f>
        <v>3875000</v>
      </c>
    </row>
    <row r="120" spans="1:17" ht="18" customHeight="1">
      <c r="A120" s="13"/>
      <c r="B120" s="19"/>
      <c r="C120" s="25"/>
      <c r="D120" s="39"/>
      <c r="E120" s="24"/>
      <c r="F120" s="47"/>
      <c r="G120" s="338" t="s">
        <v>28</v>
      </c>
      <c r="H120" s="338"/>
      <c r="I120" s="338"/>
      <c r="J120" s="338"/>
      <c r="K120" s="338"/>
      <c r="L120" s="338"/>
      <c r="M120" s="338"/>
      <c r="N120" s="338"/>
      <c r="O120" s="338"/>
      <c r="P120" s="338"/>
      <c r="Q120" s="97">
        <f>SUM(Q118:Q119)</f>
        <v>21151000</v>
      </c>
    </row>
    <row r="121" spans="1:17" ht="18" customHeight="1">
      <c r="A121" s="158"/>
      <c r="B121" s="134"/>
      <c r="C121" s="182" t="s">
        <v>236</v>
      </c>
      <c r="D121" s="13">
        <f>INT(Q127/1000)</f>
        <v>42368</v>
      </c>
      <c r="E121" s="69">
        <v>33224</v>
      </c>
      <c r="F121" s="49">
        <f>D121-E121</f>
        <v>9144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62"/>
    </row>
    <row r="122" spans="1:17" ht="19.5" customHeight="1">
      <c r="A122" s="13"/>
      <c r="B122" s="134"/>
      <c r="C122" s="34"/>
      <c r="D122" s="13"/>
      <c r="E122" s="19"/>
      <c r="F122" s="49"/>
      <c r="G122" s="46" t="s">
        <v>237</v>
      </c>
      <c r="H122" s="30">
        <v>436750</v>
      </c>
      <c r="I122" s="31" t="s">
        <v>178</v>
      </c>
      <c r="J122" s="31" t="s">
        <v>172</v>
      </c>
      <c r="K122" s="183">
        <v>4</v>
      </c>
      <c r="L122" s="83" t="s">
        <v>224</v>
      </c>
      <c r="M122" s="83" t="s">
        <v>225</v>
      </c>
      <c r="N122" s="183">
        <v>12</v>
      </c>
      <c r="O122" s="34" t="s">
        <v>221</v>
      </c>
      <c r="P122" s="54" t="s">
        <v>175</v>
      </c>
      <c r="Q122" s="63">
        <f>H122*K122*N122</f>
        <v>20964000</v>
      </c>
    </row>
    <row r="123" spans="1:17" ht="19.5" customHeight="1">
      <c r="A123" s="13"/>
      <c r="B123" s="134"/>
      <c r="C123" s="34"/>
      <c r="D123" s="13"/>
      <c r="E123" s="19"/>
      <c r="F123" s="49"/>
      <c r="G123" s="46" t="s">
        <v>238</v>
      </c>
      <c r="H123" s="30">
        <v>55000</v>
      </c>
      <c r="I123" s="31" t="s">
        <v>3</v>
      </c>
      <c r="J123" s="31" t="s">
        <v>151</v>
      </c>
      <c r="K123" s="30">
        <v>1</v>
      </c>
      <c r="L123" s="51" t="s">
        <v>0</v>
      </c>
      <c r="M123" s="31" t="s">
        <v>151</v>
      </c>
      <c r="N123" s="32">
        <v>12</v>
      </c>
      <c r="O123" s="51" t="s">
        <v>1</v>
      </c>
      <c r="P123" s="27" t="s">
        <v>38</v>
      </c>
      <c r="Q123" s="63">
        <f>H123*K123*N123</f>
        <v>660000</v>
      </c>
    </row>
    <row r="124" spans="1:17" ht="19.5" customHeight="1">
      <c r="A124" s="13"/>
      <c r="B124" s="134"/>
      <c r="C124" s="34"/>
      <c r="D124" s="13"/>
      <c r="E124" s="19"/>
      <c r="F124" s="49"/>
      <c r="G124" s="46" t="s">
        <v>239</v>
      </c>
      <c r="H124" s="30">
        <v>55000</v>
      </c>
      <c r="I124" s="31" t="s">
        <v>178</v>
      </c>
      <c r="J124" s="31" t="s">
        <v>172</v>
      </c>
      <c r="K124" s="30">
        <v>1</v>
      </c>
      <c r="L124" s="51" t="s">
        <v>173</v>
      </c>
      <c r="M124" s="31" t="s">
        <v>172</v>
      </c>
      <c r="N124" s="32">
        <v>12</v>
      </c>
      <c r="O124" s="51" t="s">
        <v>174</v>
      </c>
      <c r="P124" s="27" t="s">
        <v>175</v>
      </c>
      <c r="Q124" s="63">
        <f>H124*K124*N124</f>
        <v>660000</v>
      </c>
    </row>
    <row r="125" spans="1:17" ht="19.5" customHeight="1">
      <c r="A125" s="13"/>
      <c r="B125" s="134"/>
      <c r="C125" s="34"/>
      <c r="D125" s="13"/>
      <c r="E125" s="19"/>
      <c r="F125" s="49"/>
      <c r="G125" s="46" t="s">
        <v>240</v>
      </c>
      <c r="H125" s="30">
        <v>4771000</v>
      </c>
      <c r="I125" s="31" t="s">
        <v>178</v>
      </c>
      <c r="J125" s="31" t="s">
        <v>172</v>
      </c>
      <c r="K125" s="30">
        <v>2</v>
      </c>
      <c r="L125" s="51" t="s">
        <v>173</v>
      </c>
      <c r="M125" s="31" t="s">
        <v>172</v>
      </c>
      <c r="N125" s="32">
        <v>2</v>
      </c>
      <c r="O125" s="51" t="s">
        <v>231</v>
      </c>
      <c r="P125" s="27" t="s">
        <v>175</v>
      </c>
      <c r="Q125" s="63">
        <f>H125*K125*N125</f>
        <v>19084000</v>
      </c>
    </row>
    <row r="126" spans="1:17" ht="19.5" customHeight="1">
      <c r="A126" s="13"/>
      <c r="B126" s="134"/>
      <c r="C126" s="34"/>
      <c r="D126" s="13"/>
      <c r="E126" s="19"/>
      <c r="F126" s="49"/>
      <c r="G126" s="46" t="s">
        <v>241</v>
      </c>
      <c r="H126" s="30">
        <v>500000</v>
      </c>
      <c r="I126" s="31" t="s">
        <v>178</v>
      </c>
      <c r="J126" s="31" t="s">
        <v>172</v>
      </c>
      <c r="K126" s="30">
        <v>2</v>
      </c>
      <c r="L126" s="51" t="s">
        <v>173</v>
      </c>
      <c r="M126" s="31" t="s">
        <v>172</v>
      </c>
      <c r="N126" s="32">
        <v>1</v>
      </c>
      <c r="O126" s="51" t="s">
        <v>231</v>
      </c>
      <c r="P126" s="27" t="s">
        <v>175</v>
      </c>
      <c r="Q126" s="63">
        <f>H126*K126*N126</f>
        <v>1000000</v>
      </c>
    </row>
    <row r="127" spans="1:17" ht="18" customHeight="1">
      <c r="A127" s="13"/>
      <c r="B127" s="19"/>
      <c r="C127" s="25"/>
      <c r="D127" s="39"/>
      <c r="E127" s="24"/>
      <c r="F127" s="47"/>
      <c r="G127" s="338" t="s">
        <v>28</v>
      </c>
      <c r="H127" s="338"/>
      <c r="I127" s="338"/>
      <c r="J127" s="338"/>
      <c r="K127" s="338"/>
      <c r="L127" s="338"/>
      <c r="M127" s="338"/>
      <c r="N127" s="338"/>
      <c r="O127" s="338"/>
      <c r="P127" s="338"/>
      <c r="Q127" s="97">
        <f>SUM(Q122:Q126)</f>
        <v>42368000</v>
      </c>
    </row>
    <row r="128" spans="1:17" ht="18" customHeight="1">
      <c r="A128" s="158"/>
      <c r="B128" s="134"/>
      <c r="C128" s="182" t="s">
        <v>468</v>
      </c>
      <c r="D128" s="13">
        <f>INT(Q134/1000)</f>
        <v>2220</v>
      </c>
      <c r="E128" s="69">
        <v>2220</v>
      </c>
      <c r="F128" s="49">
        <f>D128-E128</f>
        <v>0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62"/>
    </row>
    <row r="129" spans="1:17" ht="18" customHeight="1">
      <c r="A129" s="158"/>
      <c r="B129" s="134"/>
      <c r="C129" s="34"/>
      <c r="D129" s="13"/>
      <c r="E129" s="69"/>
      <c r="F129" s="49"/>
      <c r="G129" s="46" t="s">
        <v>466</v>
      </c>
      <c r="H129" s="30"/>
      <c r="I129" s="31"/>
      <c r="J129" s="31"/>
      <c r="K129" s="30"/>
      <c r="L129" s="51"/>
      <c r="M129" s="31"/>
      <c r="N129" s="32"/>
      <c r="O129" s="51"/>
      <c r="P129" s="27"/>
      <c r="Q129" s="63"/>
    </row>
    <row r="130" spans="1:17" ht="18" customHeight="1">
      <c r="A130" s="13"/>
      <c r="B130" s="19"/>
      <c r="C130" s="43"/>
      <c r="D130" s="13"/>
      <c r="E130" s="19"/>
      <c r="F130" s="49"/>
      <c r="G130" s="46" t="s">
        <v>467</v>
      </c>
      <c r="H130" s="30">
        <v>45000</v>
      </c>
      <c r="I130" s="31" t="s">
        <v>3</v>
      </c>
      <c r="J130" s="31" t="s">
        <v>151</v>
      </c>
      <c r="K130" s="30">
        <v>1</v>
      </c>
      <c r="L130" s="51" t="s">
        <v>0</v>
      </c>
      <c r="M130" s="31" t="s">
        <v>151</v>
      </c>
      <c r="N130" s="32">
        <v>12</v>
      </c>
      <c r="O130" s="51" t="s">
        <v>1</v>
      </c>
      <c r="P130" s="27" t="s">
        <v>38</v>
      </c>
      <c r="Q130" s="63">
        <f>H130*K130*N130</f>
        <v>540000</v>
      </c>
    </row>
    <row r="131" spans="1:17" ht="18" customHeight="1">
      <c r="A131" s="13"/>
      <c r="B131" s="19"/>
      <c r="C131" s="43"/>
      <c r="D131" s="13"/>
      <c r="E131" s="19"/>
      <c r="F131" s="49"/>
      <c r="G131" s="46" t="s">
        <v>469</v>
      </c>
      <c r="H131" s="30">
        <v>50000</v>
      </c>
      <c r="I131" s="31" t="s">
        <v>3</v>
      </c>
      <c r="J131" s="31" t="s">
        <v>151</v>
      </c>
      <c r="K131" s="30">
        <v>1</v>
      </c>
      <c r="L131" s="51" t="s">
        <v>0</v>
      </c>
      <c r="M131" s="31" t="s">
        <v>151</v>
      </c>
      <c r="N131" s="32">
        <v>12</v>
      </c>
      <c r="O131" s="51" t="s">
        <v>1</v>
      </c>
      <c r="P131" s="27" t="s">
        <v>38</v>
      </c>
      <c r="Q131" s="63">
        <f>H131*K131*N131</f>
        <v>600000</v>
      </c>
    </row>
    <row r="132" spans="1:17" ht="18" customHeight="1">
      <c r="A132" s="13"/>
      <c r="B132" s="19"/>
      <c r="C132" s="43"/>
      <c r="D132" s="13"/>
      <c r="E132" s="19"/>
      <c r="F132" s="49"/>
      <c r="G132" s="46" t="s">
        <v>471</v>
      </c>
      <c r="H132" s="30">
        <v>55000</v>
      </c>
      <c r="I132" s="31" t="s">
        <v>3</v>
      </c>
      <c r="J132" s="31" t="s">
        <v>151</v>
      </c>
      <c r="K132" s="30">
        <v>1</v>
      </c>
      <c r="L132" s="51" t="s">
        <v>0</v>
      </c>
      <c r="M132" s="31" t="s">
        <v>151</v>
      </c>
      <c r="N132" s="32">
        <v>12</v>
      </c>
      <c r="O132" s="51" t="s">
        <v>1</v>
      </c>
      <c r="P132" s="27" t="s">
        <v>38</v>
      </c>
      <c r="Q132" s="63">
        <f>H132*K132*N132</f>
        <v>660000</v>
      </c>
    </row>
    <row r="133" spans="1:17" ht="18" customHeight="1">
      <c r="A133" s="13"/>
      <c r="B133" s="19"/>
      <c r="C133" s="43"/>
      <c r="D133" s="13"/>
      <c r="E133" s="19"/>
      <c r="F133" s="49"/>
      <c r="G133" s="46" t="s">
        <v>470</v>
      </c>
      <c r="H133" s="30">
        <v>35000</v>
      </c>
      <c r="I133" s="31" t="s">
        <v>3</v>
      </c>
      <c r="J133" s="31" t="s">
        <v>151</v>
      </c>
      <c r="K133" s="30">
        <v>1</v>
      </c>
      <c r="L133" s="51" t="s">
        <v>0</v>
      </c>
      <c r="M133" s="31" t="s">
        <v>151</v>
      </c>
      <c r="N133" s="32">
        <v>12</v>
      </c>
      <c r="O133" s="51" t="s">
        <v>1</v>
      </c>
      <c r="P133" s="27" t="s">
        <v>38</v>
      </c>
      <c r="Q133" s="63">
        <f>H133*K133*N133</f>
        <v>420000</v>
      </c>
    </row>
    <row r="134" spans="1:17" ht="18" customHeight="1">
      <c r="A134" s="13"/>
      <c r="B134" s="19"/>
      <c r="C134" s="25"/>
      <c r="D134" s="39"/>
      <c r="E134" s="24"/>
      <c r="F134" s="47"/>
      <c r="G134" s="338" t="s">
        <v>28</v>
      </c>
      <c r="H134" s="338"/>
      <c r="I134" s="338"/>
      <c r="J134" s="338"/>
      <c r="K134" s="338"/>
      <c r="L134" s="338"/>
      <c r="M134" s="338"/>
      <c r="N134" s="338"/>
      <c r="O134" s="338"/>
      <c r="P134" s="338"/>
      <c r="Q134" s="97">
        <f>SUM(Q129:Q133)</f>
        <v>2220000</v>
      </c>
    </row>
    <row r="135" spans="1:17" ht="18" customHeight="1">
      <c r="A135" s="349" t="s">
        <v>393</v>
      </c>
      <c r="B135" s="348"/>
      <c r="C135" s="348"/>
      <c r="D135" s="142">
        <f>D136+D220</f>
        <v>310104</v>
      </c>
      <c r="E135" s="162">
        <f>E136+E220</f>
        <v>362683</v>
      </c>
      <c r="F135" s="163">
        <f>F136+F220</f>
        <v>-52579</v>
      </c>
      <c r="G135" s="164"/>
      <c r="H135" s="143"/>
      <c r="I135" s="143"/>
      <c r="J135" s="143"/>
      <c r="K135" s="143"/>
      <c r="L135" s="161"/>
      <c r="M135" s="143"/>
      <c r="N135" s="143"/>
      <c r="O135" s="161"/>
      <c r="P135" s="143"/>
      <c r="Q135" s="165"/>
    </row>
    <row r="136" spans="1:17" ht="18" customHeight="1">
      <c r="A136" s="38"/>
      <c r="B136" s="350" t="s">
        <v>242</v>
      </c>
      <c r="C136" s="351"/>
      <c r="D136" s="206">
        <f>D137</f>
        <v>277052</v>
      </c>
      <c r="E136" s="172">
        <f>E137</f>
        <v>322247</v>
      </c>
      <c r="F136" s="145">
        <f>F137</f>
        <v>-45195</v>
      </c>
      <c r="G136" s="169"/>
      <c r="H136" s="170"/>
      <c r="I136" s="170"/>
      <c r="J136" s="170"/>
      <c r="K136" s="170"/>
      <c r="L136" s="166"/>
      <c r="M136" s="170"/>
      <c r="N136" s="170"/>
      <c r="O136" s="166"/>
      <c r="P136" s="170"/>
      <c r="Q136" s="171"/>
    </row>
    <row r="137" spans="1:17" ht="18" customHeight="1">
      <c r="A137" s="13"/>
      <c r="B137" s="14"/>
      <c r="C137" s="42" t="s">
        <v>243</v>
      </c>
      <c r="D137" s="11">
        <f>INT(Q138+Q148+Q184+Q206+Q213)/1000</f>
        <v>277052</v>
      </c>
      <c r="E137" s="70">
        <v>322247</v>
      </c>
      <c r="F137" s="48">
        <f>+D137-E137</f>
        <v>-45195</v>
      </c>
      <c r="G137" s="44"/>
      <c r="H137" s="17"/>
      <c r="I137" s="17"/>
      <c r="J137" s="17"/>
      <c r="K137" s="17"/>
      <c r="L137" s="33"/>
      <c r="M137" s="17"/>
      <c r="N137" s="17"/>
      <c r="O137" s="33"/>
      <c r="P137" s="17"/>
      <c r="Q137" s="61"/>
    </row>
    <row r="138" spans="1:17" ht="18" customHeight="1">
      <c r="A138" s="13"/>
      <c r="B138" s="19"/>
      <c r="C138" s="43"/>
      <c r="D138" s="13"/>
      <c r="E138" s="69"/>
      <c r="F138" s="49"/>
      <c r="G138" s="102" t="s">
        <v>244</v>
      </c>
      <c r="H138" s="103"/>
      <c r="I138" s="103"/>
      <c r="J138" s="103"/>
      <c r="K138" s="103"/>
      <c r="L138" s="104"/>
      <c r="M138" s="103"/>
      <c r="N138" s="103"/>
      <c r="O138" s="104"/>
      <c r="P138" s="103"/>
      <c r="Q138" s="105">
        <f>SUM(Q139:Q147)</f>
        <v>9240000</v>
      </c>
    </row>
    <row r="139" spans="1:17" ht="18" customHeight="1">
      <c r="A139" s="13"/>
      <c r="B139" s="19"/>
      <c r="C139" s="21"/>
      <c r="D139" s="13"/>
      <c r="E139" s="69"/>
      <c r="F139" s="49"/>
      <c r="G139" s="106" t="s">
        <v>245</v>
      </c>
      <c r="H139" s="103">
        <v>1000000</v>
      </c>
      <c r="I139" s="103" t="s">
        <v>2</v>
      </c>
      <c r="J139" s="103" t="s">
        <v>246</v>
      </c>
      <c r="K139" s="103">
        <v>1</v>
      </c>
      <c r="L139" s="104" t="s">
        <v>27</v>
      </c>
      <c r="M139" s="103"/>
      <c r="N139" s="103"/>
      <c r="O139" s="104"/>
      <c r="P139" s="107" t="s">
        <v>24</v>
      </c>
      <c r="Q139" s="63">
        <f>ROUNDUP(H139*K139,-3)</f>
        <v>1000000</v>
      </c>
    </row>
    <row r="140" spans="1:17" ht="18" customHeight="1">
      <c r="A140" s="13"/>
      <c r="B140" s="19"/>
      <c r="C140" s="21"/>
      <c r="D140" s="13"/>
      <c r="E140" s="69"/>
      <c r="F140" s="49"/>
      <c r="G140" s="207" t="s">
        <v>247</v>
      </c>
      <c r="H140" s="103">
        <v>70000</v>
      </c>
      <c r="I140" s="103" t="s">
        <v>2</v>
      </c>
      <c r="J140" s="103" t="s">
        <v>246</v>
      </c>
      <c r="K140" s="103">
        <v>12</v>
      </c>
      <c r="L140" s="104" t="s">
        <v>27</v>
      </c>
      <c r="M140" s="103"/>
      <c r="N140" s="103"/>
      <c r="O140" s="104"/>
      <c r="P140" s="107" t="s">
        <v>24</v>
      </c>
      <c r="Q140" s="63">
        <f aca="true" t="shared" si="1" ref="Q140:Q162">ROUNDUP(H140*K140,-3)</f>
        <v>840000</v>
      </c>
    </row>
    <row r="141" spans="1:17" ht="18" customHeight="1">
      <c r="A141" s="13"/>
      <c r="B141" s="19"/>
      <c r="C141" s="21"/>
      <c r="D141" s="13"/>
      <c r="E141" s="69"/>
      <c r="F141" s="49"/>
      <c r="G141" s="207" t="s">
        <v>248</v>
      </c>
      <c r="H141" s="103">
        <v>40000</v>
      </c>
      <c r="I141" s="103" t="s">
        <v>2</v>
      </c>
      <c r="J141" s="103" t="s">
        <v>246</v>
      </c>
      <c r="K141" s="103">
        <v>12</v>
      </c>
      <c r="L141" s="104" t="s">
        <v>27</v>
      </c>
      <c r="M141" s="103"/>
      <c r="N141" s="103"/>
      <c r="O141" s="104"/>
      <c r="P141" s="107" t="s">
        <v>24</v>
      </c>
      <c r="Q141" s="63">
        <f t="shared" si="1"/>
        <v>480000</v>
      </c>
    </row>
    <row r="142" spans="1:17" ht="18" customHeight="1">
      <c r="A142" s="13"/>
      <c r="B142" s="19"/>
      <c r="C142" s="21"/>
      <c r="D142" s="13"/>
      <c r="E142" s="69"/>
      <c r="F142" s="49"/>
      <c r="G142" s="108" t="s">
        <v>249</v>
      </c>
      <c r="H142" s="103">
        <v>50000</v>
      </c>
      <c r="I142" s="103" t="s">
        <v>2</v>
      </c>
      <c r="J142" s="103" t="s">
        <v>246</v>
      </c>
      <c r="K142" s="103">
        <v>12</v>
      </c>
      <c r="L142" s="104" t="s">
        <v>27</v>
      </c>
      <c r="M142" s="103"/>
      <c r="N142" s="103"/>
      <c r="O142" s="104"/>
      <c r="P142" s="107" t="s">
        <v>24</v>
      </c>
      <c r="Q142" s="63">
        <f t="shared" si="1"/>
        <v>600000</v>
      </c>
    </row>
    <row r="143" spans="1:17" ht="18" customHeight="1">
      <c r="A143" s="13"/>
      <c r="B143" s="19"/>
      <c r="C143" s="21"/>
      <c r="D143" s="13"/>
      <c r="E143" s="69"/>
      <c r="F143" s="49"/>
      <c r="G143" s="106" t="s">
        <v>250</v>
      </c>
      <c r="H143" s="103">
        <v>120000</v>
      </c>
      <c r="I143" s="103" t="s">
        <v>2</v>
      </c>
      <c r="J143" s="103" t="s">
        <v>246</v>
      </c>
      <c r="K143" s="103">
        <v>12</v>
      </c>
      <c r="L143" s="104" t="s">
        <v>27</v>
      </c>
      <c r="M143" s="103"/>
      <c r="N143" s="103"/>
      <c r="O143" s="104"/>
      <c r="P143" s="107" t="s">
        <v>24</v>
      </c>
      <c r="Q143" s="63">
        <f t="shared" si="1"/>
        <v>1440000</v>
      </c>
    </row>
    <row r="144" spans="1:17" ht="18" customHeight="1">
      <c r="A144" s="13"/>
      <c r="B144" s="19"/>
      <c r="C144" s="21"/>
      <c r="D144" s="13"/>
      <c r="E144" s="69"/>
      <c r="F144" s="49"/>
      <c r="G144" s="106" t="s">
        <v>251</v>
      </c>
      <c r="H144" s="103">
        <v>100000</v>
      </c>
      <c r="I144" s="103" t="s">
        <v>171</v>
      </c>
      <c r="J144" s="103" t="s">
        <v>246</v>
      </c>
      <c r="K144" s="103">
        <v>2</v>
      </c>
      <c r="L144" s="104" t="s">
        <v>235</v>
      </c>
      <c r="M144" s="103"/>
      <c r="N144" s="103"/>
      <c r="O144" s="104"/>
      <c r="P144" s="107" t="s">
        <v>24</v>
      </c>
      <c r="Q144" s="63">
        <f t="shared" si="1"/>
        <v>200000</v>
      </c>
    </row>
    <row r="145" spans="1:17" ht="18" customHeight="1">
      <c r="A145" s="13"/>
      <c r="B145" s="19"/>
      <c r="C145" s="21"/>
      <c r="D145" s="13"/>
      <c r="E145" s="69"/>
      <c r="F145" s="49"/>
      <c r="G145" s="106" t="s">
        <v>252</v>
      </c>
      <c r="H145" s="103">
        <v>250000</v>
      </c>
      <c r="I145" s="103" t="s">
        <v>2</v>
      </c>
      <c r="J145" s="103" t="s">
        <v>246</v>
      </c>
      <c r="K145" s="103">
        <v>6</v>
      </c>
      <c r="L145" s="104" t="s">
        <v>27</v>
      </c>
      <c r="M145" s="103"/>
      <c r="N145" s="103"/>
      <c r="O145" s="104"/>
      <c r="P145" s="107" t="s">
        <v>24</v>
      </c>
      <c r="Q145" s="63">
        <f t="shared" si="1"/>
        <v>1500000</v>
      </c>
    </row>
    <row r="146" spans="1:17" ht="18" customHeight="1">
      <c r="A146" s="13"/>
      <c r="B146" s="19"/>
      <c r="C146" s="21"/>
      <c r="D146" s="13"/>
      <c r="E146" s="69"/>
      <c r="F146" s="49"/>
      <c r="G146" s="106" t="s">
        <v>253</v>
      </c>
      <c r="H146" s="103">
        <v>200000</v>
      </c>
      <c r="I146" s="103" t="s">
        <v>2</v>
      </c>
      <c r="J146" s="103" t="s">
        <v>246</v>
      </c>
      <c r="K146" s="103">
        <v>12</v>
      </c>
      <c r="L146" s="104" t="s">
        <v>27</v>
      </c>
      <c r="M146" s="103"/>
      <c r="N146" s="103"/>
      <c r="O146" s="104"/>
      <c r="P146" s="107" t="s">
        <v>24</v>
      </c>
      <c r="Q146" s="63">
        <f t="shared" si="1"/>
        <v>2400000</v>
      </c>
    </row>
    <row r="147" spans="1:17" ht="18" customHeight="1">
      <c r="A147" s="13"/>
      <c r="B147" s="19"/>
      <c r="C147" s="21"/>
      <c r="D147" s="13"/>
      <c r="E147" s="69"/>
      <c r="F147" s="49"/>
      <c r="G147" s="106" t="s">
        <v>254</v>
      </c>
      <c r="H147" s="103">
        <v>65000</v>
      </c>
      <c r="I147" s="103" t="s">
        <v>2</v>
      </c>
      <c r="J147" s="103" t="s">
        <v>246</v>
      </c>
      <c r="K147" s="103">
        <v>12</v>
      </c>
      <c r="L147" s="104" t="s">
        <v>27</v>
      </c>
      <c r="M147" s="103"/>
      <c r="N147" s="103"/>
      <c r="O147" s="104"/>
      <c r="P147" s="107" t="s">
        <v>24</v>
      </c>
      <c r="Q147" s="63">
        <f t="shared" si="1"/>
        <v>780000</v>
      </c>
    </row>
    <row r="148" spans="1:17" ht="18" customHeight="1">
      <c r="A148" s="13"/>
      <c r="B148" s="19"/>
      <c r="C148" s="21"/>
      <c r="D148" s="13"/>
      <c r="E148" s="69"/>
      <c r="F148" s="49"/>
      <c r="G148" s="102" t="s">
        <v>359</v>
      </c>
      <c r="H148" s="103"/>
      <c r="I148" s="103"/>
      <c r="J148" s="103"/>
      <c r="K148" s="103"/>
      <c r="L148" s="104"/>
      <c r="M148" s="103"/>
      <c r="N148" s="103"/>
      <c r="O148" s="104"/>
      <c r="P148" s="107"/>
      <c r="Q148" s="105">
        <f>SUM(Q149:Q183)</f>
        <v>229854000</v>
      </c>
    </row>
    <row r="149" spans="1:17" ht="18" customHeight="1">
      <c r="A149" s="13"/>
      <c r="B149" s="19"/>
      <c r="C149" s="21"/>
      <c r="D149" s="13"/>
      <c r="E149" s="69"/>
      <c r="F149" s="49"/>
      <c r="G149" s="207" t="s">
        <v>473</v>
      </c>
      <c r="H149" s="103">
        <v>40000</v>
      </c>
      <c r="I149" s="103" t="s">
        <v>2</v>
      </c>
      <c r="J149" s="103" t="s">
        <v>246</v>
      </c>
      <c r="K149" s="103">
        <v>1</v>
      </c>
      <c r="L149" s="187" t="s">
        <v>4</v>
      </c>
      <c r="M149" s="103"/>
      <c r="N149" s="103"/>
      <c r="O149" s="104"/>
      <c r="P149" s="107" t="s">
        <v>24</v>
      </c>
      <c r="Q149" s="63">
        <f t="shared" si="1"/>
        <v>40000</v>
      </c>
    </row>
    <row r="150" spans="1:17" ht="18" customHeight="1">
      <c r="A150" s="13"/>
      <c r="B150" s="19"/>
      <c r="C150" s="21"/>
      <c r="D150" s="13"/>
      <c r="E150" s="69"/>
      <c r="F150" s="49"/>
      <c r="G150" s="207" t="s">
        <v>360</v>
      </c>
      <c r="H150" s="103">
        <v>560000</v>
      </c>
      <c r="I150" s="103" t="s">
        <v>2</v>
      </c>
      <c r="J150" s="103" t="s">
        <v>246</v>
      </c>
      <c r="K150" s="103">
        <v>1</v>
      </c>
      <c r="L150" s="187" t="s">
        <v>4</v>
      </c>
      <c r="M150" s="103"/>
      <c r="N150" s="103"/>
      <c r="O150" s="104"/>
      <c r="P150" s="107" t="s">
        <v>24</v>
      </c>
      <c r="Q150" s="63">
        <f>ROUNDUP(H150*K150,-3)</f>
        <v>560000</v>
      </c>
    </row>
    <row r="151" spans="1:17" ht="18" customHeight="1">
      <c r="A151" s="13"/>
      <c r="B151" s="19"/>
      <c r="C151" s="21"/>
      <c r="D151" s="13"/>
      <c r="E151" s="69"/>
      <c r="F151" s="49"/>
      <c r="G151" s="207" t="s">
        <v>347</v>
      </c>
      <c r="H151" s="103">
        <v>30000</v>
      </c>
      <c r="I151" s="103" t="s">
        <v>2</v>
      </c>
      <c r="J151" s="103" t="s">
        <v>246</v>
      </c>
      <c r="K151" s="103">
        <v>2</v>
      </c>
      <c r="L151" s="187" t="s">
        <v>4</v>
      </c>
      <c r="M151" s="103"/>
      <c r="N151" s="103"/>
      <c r="O151" s="104"/>
      <c r="P151" s="107" t="s">
        <v>24</v>
      </c>
      <c r="Q151" s="63">
        <f>ROUNDUP(H151*K151,-3)</f>
        <v>60000</v>
      </c>
    </row>
    <row r="152" spans="1:17" ht="18" customHeight="1">
      <c r="A152" s="13"/>
      <c r="B152" s="19"/>
      <c r="C152" s="21"/>
      <c r="D152" s="13"/>
      <c r="E152" s="69"/>
      <c r="F152" s="49"/>
      <c r="G152" s="207" t="s">
        <v>472</v>
      </c>
      <c r="H152" s="103">
        <v>45000</v>
      </c>
      <c r="I152" s="103" t="s">
        <v>2</v>
      </c>
      <c r="J152" s="103" t="s">
        <v>246</v>
      </c>
      <c r="K152" s="103">
        <v>12</v>
      </c>
      <c r="L152" s="187" t="s">
        <v>1</v>
      </c>
      <c r="M152" s="103"/>
      <c r="N152" s="103"/>
      <c r="O152" s="104"/>
      <c r="P152" s="107" t="s">
        <v>24</v>
      </c>
      <c r="Q152" s="63">
        <f t="shared" si="1"/>
        <v>540000</v>
      </c>
    </row>
    <row r="153" spans="1:17" ht="18" customHeight="1">
      <c r="A153" s="13"/>
      <c r="B153" s="19"/>
      <c r="C153" s="21"/>
      <c r="D153" s="13"/>
      <c r="E153" s="69"/>
      <c r="F153" s="49"/>
      <c r="G153" s="207" t="s">
        <v>474</v>
      </c>
      <c r="H153" s="103">
        <v>1000000</v>
      </c>
      <c r="I153" s="103" t="s">
        <v>2</v>
      </c>
      <c r="J153" s="103" t="s">
        <v>246</v>
      </c>
      <c r="K153" s="103">
        <v>1</v>
      </c>
      <c r="L153" s="104" t="s">
        <v>50</v>
      </c>
      <c r="M153" s="103"/>
      <c r="N153" s="103"/>
      <c r="O153" s="104"/>
      <c r="P153" s="107" t="s">
        <v>24</v>
      </c>
      <c r="Q153" s="63">
        <f>ROUNDUP(H153*K153,-3)</f>
        <v>1000000</v>
      </c>
    </row>
    <row r="154" spans="1:17" ht="18" customHeight="1">
      <c r="A154" s="13"/>
      <c r="B154" s="19"/>
      <c r="C154" s="21"/>
      <c r="D154" s="13"/>
      <c r="E154" s="69"/>
      <c r="F154" s="49"/>
      <c r="G154" s="207" t="s">
        <v>475</v>
      </c>
      <c r="H154" s="103">
        <v>1000000</v>
      </c>
      <c r="I154" s="103" t="s">
        <v>2</v>
      </c>
      <c r="J154" s="103" t="s">
        <v>246</v>
      </c>
      <c r="K154" s="103">
        <v>1</v>
      </c>
      <c r="L154" s="104" t="s">
        <v>235</v>
      </c>
      <c r="M154" s="103"/>
      <c r="N154" s="103"/>
      <c r="O154" s="104"/>
      <c r="P154" s="107" t="s">
        <v>24</v>
      </c>
      <c r="Q154" s="63">
        <f>ROUNDUP(H154*K154,-3)</f>
        <v>1000000</v>
      </c>
    </row>
    <row r="155" spans="1:17" ht="18" customHeight="1">
      <c r="A155" s="13"/>
      <c r="B155" s="19"/>
      <c r="C155" s="21"/>
      <c r="D155" s="13"/>
      <c r="E155" s="69"/>
      <c r="F155" s="49"/>
      <c r="G155" s="106" t="s">
        <v>255</v>
      </c>
      <c r="H155" s="103">
        <v>110000</v>
      </c>
      <c r="I155" s="103" t="s">
        <v>2</v>
      </c>
      <c r="J155" s="103" t="s">
        <v>246</v>
      </c>
      <c r="K155" s="103">
        <v>12</v>
      </c>
      <c r="L155" s="104" t="s">
        <v>27</v>
      </c>
      <c r="M155" s="103"/>
      <c r="N155" s="103"/>
      <c r="O155" s="104"/>
      <c r="P155" s="107" t="s">
        <v>24</v>
      </c>
      <c r="Q155" s="63">
        <f t="shared" si="1"/>
        <v>1320000</v>
      </c>
    </row>
    <row r="156" spans="1:17" ht="18" customHeight="1">
      <c r="A156" s="13"/>
      <c r="B156" s="19"/>
      <c r="C156" s="21"/>
      <c r="D156" s="13"/>
      <c r="E156" s="69"/>
      <c r="F156" s="49"/>
      <c r="G156" s="106" t="s">
        <v>256</v>
      </c>
      <c r="H156" s="103">
        <v>90830</v>
      </c>
      <c r="I156" s="103" t="s">
        <v>2</v>
      </c>
      <c r="J156" s="103" t="s">
        <v>246</v>
      </c>
      <c r="K156" s="103">
        <v>12</v>
      </c>
      <c r="L156" s="104" t="s">
        <v>221</v>
      </c>
      <c r="M156" s="103"/>
      <c r="N156" s="103"/>
      <c r="O156" s="104"/>
      <c r="P156" s="107" t="s">
        <v>24</v>
      </c>
      <c r="Q156" s="63">
        <f t="shared" si="1"/>
        <v>1090000</v>
      </c>
    </row>
    <row r="157" spans="1:17" ht="18" customHeight="1">
      <c r="A157" s="13"/>
      <c r="B157" s="19"/>
      <c r="C157" s="21"/>
      <c r="D157" s="13"/>
      <c r="E157" s="69"/>
      <c r="F157" s="49"/>
      <c r="G157" s="106" t="s">
        <v>257</v>
      </c>
      <c r="H157" s="103">
        <v>44000</v>
      </c>
      <c r="I157" s="103" t="s">
        <v>2</v>
      </c>
      <c r="J157" s="103" t="s">
        <v>246</v>
      </c>
      <c r="K157" s="103">
        <v>12</v>
      </c>
      <c r="L157" s="104" t="s">
        <v>27</v>
      </c>
      <c r="M157" s="103"/>
      <c r="N157" s="103"/>
      <c r="O157" s="104"/>
      <c r="P157" s="107" t="s">
        <v>24</v>
      </c>
      <c r="Q157" s="63">
        <f t="shared" si="1"/>
        <v>528000</v>
      </c>
    </row>
    <row r="158" spans="1:17" ht="18" customHeight="1">
      <c r="A158" s="13"/>
      <c r="B158" s="19"/>
      <c r="C158" s="21"/>
      <c r="D158" s="13"/>
      <c r="E158" s="69"/>
      <c r="F158" s="49"/>
      <c r="G158" s="207" t="s">
        <v>258</v>
      </c>
      <c r="H158" s="103">
        <v>47500</v>
      </c>
      <c r="I158" s="103" t="s">
        <v>2</v>
      </c>
      <c r="J158" s="103" t="s">
        <v>246</v>
      </c>
      <c r="K158" s="103">
        <v>12</v>
      </c>
      <c r="L158" s="104" t="s">
        <v>27</v>
      </c>
      <c r="M158" s="31" t="s">
        <v>172</v>
      </c>
      <c r="N158" s="32">
        <v>2</v>
      </c>
      <c r="O158" s="205" t="s">
        <v>348</v>
      </c>
      <c r="P158" s="107" t="s">
        <v>24</v>
      </c>
      <c r="Q158" s="63">
        <f>ROUNDUP(H158*K158*N158,-3)</f>
        <v>1140000</v>
      </c>
    </row>
    <row r="159" spans="1:17" ht="18" customHeight="1">
      <c r="A159" s="13"/>
      <c r="B159" s="19"/>
      <c r="C159" s="21"/>
      <c r="D159" s="13"/>
      <c r="E159" s="69"/>
      <c r="F159" s="49"/>
      <c r="G159" s="207" t="s">
        <v>259</v>
      </c>
      <c r="H159" s="103">
        <v>2999750</v>
      </c>
      <c r="I159" s="103" t="s">
        <v>2</v>
      </c>
      <c r="J159" s="103" t="s">
        <v>246</v>
      </c>
      <c r="K159" s="103">
        <v>12</v>
      </c>
      <c r="L159" s="187" t="s">
        <v>51</v>
      </c>
      <c r="M159" s="103"/>
      <c r="N159" s="103"/>
      <c r="O159" s="104"/>
      <c r="P159" s="107" t="s">
        <v>24</v>
      </c>
      <c r="Q159" s="63">
        <f>ROUNDUP(H159*K159,-3)</f>
        <v>35997000</v>
      </c>
    </row>
    <row r="160" spans="1:17" ht="18" customHeight="1">
      <c r="A160" s="13"/>
      <c r="B160" s="19"/>
      <c r="C160" s="21"/>
      <c r="D160" s="13"/>
      <c r="E160" s="69"/>
      <c r="F160" s="49"/>
      <c r="G160" s="207" t="s">
        <v>349</v>
      </c>
      <c r="H160" s="103">
        <v>600000</v>
      </c>
      <c r="I160" s="103" t="s">
        <v>2</v>
      </c>
      <c r="J160" s="103" t="s">
        <v>246</v>
      </c>
      <c r="K160" s="103">
        <v>12</v>
      </c>
      <c r="L160" s="104" t="s">
        <v>221</v>
      </c>
      <c r="M160" s="103"/>
      <c r="N160" s="103"/>
      <c r="O160" s="104"/>
      <c r="P160" s="107" t="s">
        <v>24</v>
      </c>
      <c r="Q160" s="63">
        <f t="shared" si="1"/>
        <v>7200000</v>
      </c>
    </row>
    <row r="161" spans="1:17" ht="18" customHeight="1">
      <c r="A161" s="13"/>
      <c r="B161" s="19"/>
      <c r="C161" s="21"/>
      <c r="D161" s="13"/>
      <c r="E161" s="69"/>
      <c r="F161" s="49"/>
      <c r="G161" s="207" t="s">
        <v>261</v>
      </c>
      <c r="H161" s="103">
        <v>300000</v>
      </c>
      <c r="I161" s="103" t="s">
        <v>2</v>
      </c>
      <c r="J161" s="103" t="s">
        <v>246</v>
      </c>
      <c r="K161" s="103">
        <v>1</v>
      </c>
      <c r="L161" s="187" t="s">
        <v>235</v>
      </c>
      <c r="M161" s="103"/>
      <c r="N161" s="103"/>
      <c r="O161" s="104"/>
      <c r="P161" s="107" t="s">
        <v>24</v>
      </c>
      <c r="Q161" s="63">
        <f t="shared" si="1"/>
        <v>300000</v>
      </c>
    </row>
    <row r="162" spans="1:17" ht="18" customHeight="1">
      <c r="A162" s="13"/>
      <c r="B162" s="19"/>
      <c r="C162" s="21"/>
      <c r="D162" s="13"/>
      <c r="E162" s="69"/>
      <c r="F162" s="49"/>
      <c r="G162" s="207" t="s">
        <v>361</v>
      </c>
      <c r="H162" s="103">
        <v>600000</v>
      </c>
      <c r="I162" s="103" t="s">
        <v>2</v>
      </c>
      <c r="J162" s="103" t="s">
        <v>246</v>
      </c>
      <c r="K162" s="103">
        <v>1</v>
      </c>
      <c r="L162" s="187" t="s">
        <v>512</v>
      </c>
      <c r="M162" s="103"/>
      <c r="N162" s="103"/>
      <c r="O162" s="104"/>
      <c r="P162" s="107" t="s">
        <v>24</v>
      </c>
      <c r="Q162" s="63">
        <f t="shared" si="1"/>
        <v>600000</v>
      </c>
    </row>
    <row r="163" spans="1:17" ht="18" customHeight="1">
      <c r="A163" s="13"/>
      <c r="B163" s="19"/>
      <c r="C163" s="21"/>
      <c r="D163" s="13"/>
      <c r="E163" s="69"/>
      <c r="F163" s="49"/>
      <c r="G163" s="108" t="s">
        <v>362</v>
      </c>
      <c r="H163" s="103">
        <v>100000</v>
      </c>
      <c r="I163" s="103" t="s">
        <v>2</v>
      </c>
      <c r="J163" s="103" t="s">
        <v>246</v>
      </c>
      <c r="K163" s="103">
        <v>8</v>
      </c>
      <c r="L163" s="104" t="s">
        <v>262</v>
      </c>
      <c r="M163" s="103"/>
      <c r="N163" s="103"/>
      <c r="O163" s="104"/>
      <c r="P163" s="107" t="s">
        <v>24</v>
      </c>
      <c r="Q163" s="63">
        <f>ROUNDUP(H163*K163,-3)</f>
        <v>800000</v>
      </c>
    </row>
    <row r="164" spans="1:17" ht="18" customHeight="1">
      <c r="A164" s="13"/>
      <c r="B164" s="19"/>
      <c r="C164" s="21"/>
      <c r="D164" s="13"/>
      <c r="E164" s="69"/>
      <c r="F164" s="49"/>
      <c r="G164" s="108" t="s">
        <v>476</v>
      </c>
      <c r="H164" s="103">
        <v>185000</v>
      </c>
      <c r="I164" s="103" t="s">
        <v>2</v>
      </c>
      <c r="J164" s="103" t="s">
        <v>246</v>
      </c>
      <c r="K164" s="103">
        <v>1</v>
      </c>
      <c r="L164" s="187" t="s">
        <v>260</v>
      </c>
      <c r="M164" s="103" t="s">
        <v>246</v>
      </c>
      <c r="N164" s="103">
        <v>12</v>
      </c>
      <c r="O164" s="187" t="s">
        <v>51</v>
      </c>
      <c r="P164" s="107" t="s">
        <v>24</v>
      </c>
      <c r="Q164" s="63">
        <f>H164*K164*N164</f>
        <v>2220000</v>
      </c>
    </row>
    <row r="165" spans="1:17" ht="18" customHeight="1">
      <c r="A165" s="13"/>
      <c r="B165" s="19"/>
      <c r="C165" s="21"/>
      <c r="D165" s="13"/>
      <c r="E165" s="69"/>
      <c r="F165" s="49"/>
      <c r="G165" s="108" t="s">
        <v>477</v>
      </c>
      <c r="H165" s="103">
        <v>55000</v>
      </c>
      <c r="I165" s="103" t="s">
        <v>2</v>
      </c>
      <c r="J165" s="103" t="s">
        <v>246</v>
      </c>
      <c r="K165" s="103">
        <v>1</v>
      </c>
      <c r="L165" s="187" t="s">
        <v>260</v>
      </c>
      <c r="M165" s="103" t="s">
        <v>246</v>
      </c>
      <c r="N165" s="103">
        <v>12</v>
      </c>
      <c r="O165" s="187" t="s">
        <v>51</v>
      </c>
      <c r="P165" s="107" t="s">
        <v>24</v>
      </c>
      <c r="Q165" s="63">
        <f>H165*K165*N165</f>
        <v>660000</v>
      </c>
    </row>
    <row r="166" spans="1:17" ht="18" customHeight="1">
      <c r="A166" s="13"/>
      <c r="B166" s="19"/>
      <c r="C166" s="21"/>
      <c r="D166" s="13"/>
      <c r="E166" s="69"/>
      <c r="F166" s="49"/>
      <c r="G166" s="207" t="s">
        <v>364</v>
      </c>
      <c r="H166" s="103"/>
      <c r="I166" s="103"/>
      <c r="J166" s="103"/>
      <c r="K166" s="103"/>
      <c r="L166" s="104"/>
      <c r="M166" s="103"/>
      <c r="N166" s="103"/>
      <c r="O166" s="104"/>
      <c r="P166" s="107"/>
      <c r="Q166" s="67"/>
    </row>
    <row r="167" spans="1:17" ht="18" customHeight="1">
      <c r="A167" s="13"/>
      <c r="B167" s="19"/>
      <c r="C167" s="21"/>
      <c r="D167" s="13"/>
      <c r="E167" s="69"/>
      <c r="F167" s="49"/>
      <c r="G167" s="207" t="s">
        <v>478</v>
      </c>
      <c r="H167" s="103">
        <v>112250</v>
      </c>
      <c r="I167" s="191" t="s">
        <v>366</v>
      </c>
      <c r="J167" s="103" t="s">
        <v>246</v>
      </c>
      <c r="K167" s="103">
        <v>12</v>
      </c>
      <c r="L167" s="187" t="s">
        <v>1</v>
      </c>
      <c r="M167" s="191" t="s">
        <v>377</v>
      </c>
      <c r="N167" s="191" t="s">
        <v>377</v>
      </c>
      <c r="O167" s="187" t="s">
        <v>377</v>
      </c>
      <c r="P167" s="109" t="s">
        <v>368</v>
      </c>
      <c r="Q167" s="63">
        <f>ROUNDDOWN(H167*K167,-3)</f>
        <v>1347000</v>
      </c>
    </row>
    <row r="168" spans="1:17" ht="18" customHeight="1">
      <c r="A168" s="13"/>
      <c r="B168" s="19"/>
      <c r="C168" s="21"/>
      <c r="D168" s="13"/>
      <c r="E168" s="69"/>
      <c r="F168" s="49"/>
      <c r="G168" s="207" t="s">
        <v>365</v>
      </c>
      <c r="H168" s="103">
        <v>17000</v>
      </c>
      <c r="I168" s="191" t="s">
        <v>366</v>
      </c>
      <c r="J168" s="103" t="s">
        <v>246</v>
      </c>
      <c r="K168" s="103">
        <v>40</v>
      </c>
      <c r="L168" s="187" t="s">
        <v>367</v>
      </c>
      <c r="M168" s="103" t="s">
        <v>246</v>
      </c>
      <c r="N168" s="103">
        <v>5</v>
      </c>
      <c r="O168" s="187" t="s">
        <v>4</v>
      </c>
      <c r="P168" s="109" t="s">
        <v>368</v>
      </c>
      <c r="Q168" s="67">
        <f>H168*K168*N168</f>
        <v>3400000</v>
      </c>
    </row>
    <row r="169" spans="1:17" ht="18" customHeight="1">
      <c r="A169" s="13"/>
      <c r="B169" s="19"/>
      <c r="C169" s="21"/>
      <c r="D169" s="13"/>
      <c r="E169" s="69"/>
      <c r="F169" s="49"/>
      <c r="G169" s="207" t="s">
        <v>369</v>
      </c>
      <c r="H169" s="103">
        <v>24000</v>
      </c>
      <c r="I169" s="191" t="s">
        <v>366</v>
      </c>
      <c r="J169" s="103" t="s">
        <v>246</v>
      </c>
      <c r="K169" s="103">
        <v>5</v>
      </c>
      <c r="L169" s="187" t="s">
        <v>367</v>
      </c>
      <c r="M169" s="103" t="s">
        <v>246</v>
      </c>
      <c r="N169" s="103">
        <v>2</v>
      </c>
      <c r="O169" s="187" t="s">
        <v>4</v>
      </c>
      <c r="P169" s="109" t="s">
        <v>368</v>
      </c>
      <c r="Q169" s="67">
        <f>H169*K169*N169</f>
        <v>240000</v>
      </c>
    </row>
    <row r="170" spans="1:17" ht="18" customHeight="1">
      <c r="A170" s="13"/>
      <c r="B170" s="19"/>
      <c r="C170" s="21"/>
      <c r="D170" s="13"/>
      <c r="E170" s="69"/>
      <c r="F170" s="49"/>
      <c r="G170" s="207" t="s">
        <v>370</v>
      </c>
      <c r="H170" s="103">
        <v>16500</v>
      </c>
      <c r="I170" s="191" t="s">
        <v>3</v>
      </c>
      <c r="J170" s="103" t="s">
        <v>246</v>
      </c>
      <c r="K170" s="103">
        <v>2</v>
      </c>
      <c r="L170" s="187" t="s">
        <v>367</v>
      </c>
      <c r="M170" s="103" t="s">
        <v>246</v>
      </c>
      <c r="N170" s="103">
        <v>1</v>
      </c>
      <c r="O170" s="187" t="s">
        <v>4</v>
      </c>
      <c r="P170" s="109" t="s">
        <v>152</v>
      </c>
      <c r="Q170" s="67">
        <f>H170*K170*N170</f>
        <v>33000</v>
      </c>
    </row>
    <row r="171" spans="1:17" ht="18" customHeight="1">
      <c r="A171" s="13"/>
      <c r="B171" s="19"/>
      <c r="C171" s="21"/>
      <c r="D171" s="13"/>
      <c r="E171" s="69"/>
      <c r="F171" s="49"/>
      <c r="G171" s="207" t="s">
        <v>479</v>
      </c>
      <c r="H171" s="103">
        <v>230000</v>
      </c>
      <c r="I171" s="103" t="s">
        <v>2</v>
      </c>
      <c r="J171" s="103" t="s">
        <v>246</v>
      </c>
      <c r="K171" s="103">
        <v>6</v>
      </c>
      <c r="L171" s="187" t="s">
        <v>50</v>
      </c>
      <c r="M171" s="103"/>
      <c r="N171" s="103"/>
      <c r="O171" s="104"/>
      <c r="P171" s="107" t="s">
        <v>24</v>
      </c>
      <c r="Q171" s="63">
        <f>ROUNDUP(H171*K171,-3)</f>
        <v>1380000</v>
      </c>
    </row>
    <row r="172" spans="1:17" ht="18" customHeight="1">
      <c r="A172" s="13"/>
      <c r="B172" s="19"/>
      <c r="C172" s="21"/>
      <c r="D172" s="13"/>
      <c r="E172" s="69"/>
      <c r="F172" s="49"/>
      <c r="G172" s="207" t="s">
        <v>363</v>
      </c>
      <c r="H172" s="103">
        <v>80000</v>
      </c>
      <c r="I172" s="103" t="s">
        <v>2</v>
      </c>
      <c r="J172" s="103" t="s">
        <v>246</v>
      </c>
      <c r="K172" s="103">
        <v>8</v>
      </c>
      <c r="L172" s="187" t="s">
        <v>50</v>
      </c>
      <c r="M172" s="103"/>
      <c r="N172" s="103"/>
      <c r="O172" s="104"/>
      <c r="P172" s="107" t="s">
        <v>24</v>
      </c>
      <c r="Q172" s="63">
        <f>ROUNDUP(H172*K172,-3)</f>
        <v>640000</v>
      </c>
    </row>
    <row r="173" spans="1:17" ht="18" customHeight="1">
      <c r="A173" s="13"/>
      <c r="B173" s="19"/>
      <c r="C173" s="21"/>
      <c r="D173" s="13"/>
      <c r="E173" s="69"/>
      <c r="F173" s="49"/>
      <c r="G173" s="106" t="s">
        <v>263</v>
      </c>
      <c r="H173" s="103">
        <v>200000</v>
      </c>
      <c r="I173" s="103" t="s">
        <v>2</v>
      </c>
      <c r="J173" s="103" t="s">
        <v>246</v>
      </c>
      <c r="K173" s="103">
        <v>4</v>
      </c>
      <c r="L173" s="187" t="s">
        <v>50</v>
      </c>
      <c r="M173" s="103"/>
      <c r="N173" s="103"/>
      <c r="O173" s="104"/>
      <c r="P173" s="107" t="s">
        <v>24</v>
      </c>
      <c r="Q173" s="63">
        <f>ROUNDUP(H173*K173,-3)</f>
        <v>800000</v>
      </c>
    </row>
    <row r="174" spans="1:17" ht="18" customHeight="1">
      <c r="A174" s="13"/>
      <c r="B174" s="19"/>
      <c r="C174" s="21"/>
      <c r="D174" s="13"/>
      <c r="E174" s="69"/>
      <c r="F174" s="49"/>
      <c r="G174" s="207" t="s">
        <v>374</v>
      </c>
      <c r="H174" s="103">
        <v>96000</v>
      </c>
      <c r="I174" s="103" t="s">
        <v>171</v>
      </c>
      <c r="J174" s="103" t="s">
        <v>225</v>
      </c>
      <c r="K174" s="103">
        <v>14</v>
      </c>
      <c r="L174" s="104" t="s">
        <v>224</v>
      </c>
      <c r="M174" s="208"/>
      <c r="N174" s="208"/>
      <c r="O174" s="209"/>
      <c r="P174" s="210"/>
      <c r="Q174" s="63">
        <f>ROUNDUP(H174*K174,-3)</f>
        <v>1344000</v>
      </c>
    </row>
    <row r="175" spans="1:17" ht="18" customHeight="1">
      <c r="A175" s="13"/>
      <c r="B175" s="19"/>
      <c r="C175" s="21"/>
      <c r="D175" s="13"/>
      <c r="E175" s="69"/>
      <c r="F175" s="49"/>
      <c r="G175" s="207" t="s">
        <v>526</v>
      </c>
      <c r="H175" s="103"/>
      <c r="I175" s="103"/>
      <c r="J175" s="103"/>
      <c r="K175" s="103"/>
      <c r="L175" s="187"/>
      <c r="M175" s="208"/>
      <c r="N175" s="208"/>
      <c r="O175" s="209"/>
      <c r="P175" s="210"/>
      <c r="Q175" s="63"/>
    </row>
    <row r="176" spans="1:17" ht="18" customHeight="1">
      <c r="A176" s="13"/>
      <c r="B176" s="19"/>
      <c r="C176" s="21"/>
      <c r="D176" s="13"/>
      <c r="E176" s="69"/>
      <c r="F176" s="49"/>
      <c r="G176" s="184" t="s">
        <v>528</v>
      </c>
      <c r="H176" s="103">
        <v>175000</v>
      </c>
      <c r="I176" s="191" t="s">
        <v>527</v>
      </c>
      <c r="J176" s="103" t="s">
        <v>225</v>
      </c>
      <c r="K176" s="103">
        <v>4</v>
      </c>
      <c r="L176" s="187" t="s">
        <v>50</v>
      </c>
      <c r="M176" s="208"/>
      <c r="N176" s="208"/>
      <c r="O176" s="209"/>
      <c r="P176" s="210" t="s">
        <v>529</v>
      </c>
      <c r="Q176" s="63">
        <f>ROUNDUP(H176*K176,-3)</f>
        <v>700000</v>
      </c>
    </row>
    <row r="177" spans="1:17" ht="18" customHeight="1">
      <c r="A177" s="13"/>
      <c r="B177" s="19"/>
      <c r="C177" s="21"/>
      <c r="D177" s="13"/>
      <c r="E177" s="69"/>
      <c r="F177" s="49"/>
      <c r="G177" s="184" t="s">
        <v>381</v>
      </c>
      <c r="H177" s="103">
        <v>300000</v>
      </c>
      <c r="I177" s="103" t="s">
        <v>39</v>
      </c>
      <c r="J177" s="103" t="s">
        <v>225</v>
      </c>
      <c r="K177" s="103">
        <v>1</v>
      </c>
      <c r="L177" s="187" t="s">
        <v>50</v>
      </c>
      <c r="M177" s="208"/>
      <c r="N177" s="208"/>
      <c r="O177" s="209"/>
      <c r="P177" s="210" t="s">
        <v>529</v>
      </c>
      <c r="Q177" s="63">
        <f>ROUNDUP(H177*K177,-3)</f>
        <v>300000</v>
      </c>
    </row>
    <row r="178" spans="1:17" ht="18" customHeight="1">
      <c r="A178" s="13"/>
      <c r="B178" s="19"/>
      <c r="C178" s="21"/>
      <c r="D178" s="13"/>
      <c r="E178" s="69"/>
      <c r="F178" s="49"/>
      <c r="G178" s="207" t="s">
        <v>375</v>
      </c>
      <c r="H178" s="103"/>
      <c r="I178" s="103"/>
      <c r="J178" s="103"/>
      <c r="K178" s="103"/>
      <c r="L178" s="104"/>
      <c r="M178" s="103"/>
      <c r="N178" s="103"/>
      <c r="O178" s="104"/>
      <c r="P178" s="107"/>
      <c r="Q178" s="105"/>
    </row>
    <row r="179" spans="1:17" ht="18" customHeight="1">
      <c r="A179" s="13"/>
      <c r="B179" s="19"/>
      <c r="C179" s="21"/>
      <c r="D179" s="13"/>
      <c r="E179" s="69"/>
      <c r="F179" s="49"/>
      <c r="G179" s="184" t="s">
        <v>381</v>
      </c>
      <c r="H179" s="103">
        <v>5981250</v>
      </c>
      <c r="I179" s="103" t="s">
        <v>2</v>
      </c>
      <c r="J179" s="103" t="s">
        <v>246</v>
      </c>
      <c r="K179" s="103">
        <v>12</v>
      </c>
      <c r="L179" s="187" t="s">
        <v>51</v>
      </c>
      <c r="M179" s="103"/>
      <c r="N179" s="103"/>
      <c r="O179" s="104"/>
      <c r="P179" s="107" t="s">
        <v>24</v>
      </c>
      <c r="Q179" s="67">
        <f>H179*K179</f>
        <v>71775000</v>
      </c>
    </row>
    <row r="180" spans="1:17" ht="18" customHeight="1">
      <c r="A180" s="13"/>
      <c r="B180" s="19"/>
      <c r="C180" s="21"/>
      <c r="D180" s="13"/>
      <c r="E180" s="69"/>
      <c r="F180" s="49"/>
      <c r="G180" s="184" t="s">
        <v>480</v>
      </c>
      <c r="H180" s="103">
        <v>2000000</v>
      </c>
      <c r="I180" s="103" t="s">
        <v>2</v>
      </c>
      <c r="J180" s="103" t="s">
        <v>246</v>
      </c>
      <c r="K180" s="103">
        <v>1</v>
      </c>
      <c r="L180" s="104" t="s">
        <v>51</v>
      </c>
      <c r="M180" s="103"/>
      <c r="N180" s="103"/>
      <c r="O180" s="104"/>
      <c r="P180" s="107" t="s">
        <v>24</v>
      </c>
      <c r="Q180" s="67">
        <f>H180*K180</f>
        <v>2000000</v>
      </c>
    </row>
    <row r="181" spans="1:17" ht="18" customHeight="1">
      <c r="A181" s="13"/>
      <c r="B181" s="19"/>
      <c r="C181" s="21"/>
      <c r="D181" s="13"/>
      <c r="E181" s="69"/>
      <c r="F181" s="49"/>
      <c r="G181" s="184" t="s">
        <v>382</v>
      </c>
      <c r="H181" s="103">
        <v>250000</v>
      </c>
      <c r="I181" s="103" t="s">
        <v>2</v>
      </c>
      <c r="J181" s="103" t="s">
        <v>246</v>
      </c>
      <c r="K181" s="103">
        <v>12</v>
      </c>
      <c r="L181" s="104" t="s">
        <v>221</v>
      </c>
      <c r="M181" s="103"/>
      <c r="N181" s="103"/>
      <c r="O181" s="104"/>
      <c r="P181" s="107" t="s">
        <v>24</v>
      </c>
      <c r="Q181" s="67">
        <f>H181*K181</f>
        <v>3000000</v>
      </c>
    </row>
    <row r="182" spans="1:17" ht="18" customHeight="1">
      <c r="A182" s="13"/>
      <c r="B182" s="19"/>
      <c r="C182" s="21"/>
      <c r="D182" s="13"/>
      <c r="E182" s="69"/>
      <c r="F182" s="49"/>
      <c r="G182" s="184" t="s">
        <v>383</v>
      </c>
      <c r="H182" s="103">
        <v>7280000</v>
      </c>
      <c r="I182" s="103" t="s">
        <v>2</v>
      </c>
      <c r="J182" s="103" t="s">
        <v>246</v>
      </c>
      <c r="K182" s="103">
        <v>12</v>
      </c>
      <c r="L182" s="187" t="s">
        <v>221</v>
      </c>
      <c r="M182" s="191" t="s">
        <v>214</v>
      </c>
      <c r="N182" s="191" t="s">
        <v>270</v>
      </c>
      <c r="O182" s="187" t="s">
        <v>214</v>
      </c>
      <c r="P182" s="107" t="s">
        <v>24</v>
      </c>
      <c r="Q182" s="67">
        <f>H182*K182</f>
        <v>87360000</v>
      </c>
    </row>
    <row r="183" spans="1:17" ht="18" customHeight="1">
      <c r="A183" s="13"/>
      <c r="B183" s="19"/>
      <c r="C183" s="21"/>
      <c r="D183" s="13"/>
      <c r="E183" s="69"/>
      <c r="F183" s="49"/>
      <c r="G183" s="207" t="s">
        <v>376</v>
      </c>
      <c r="H183" s="103">
        <v>480000</v>
      </c>
      <c r="I183" s="103" t="s">
        <v>2</v>
      </c>
      <c r="J183" s="103" t="s">
        <v>246</v>
      </c>
      <c r="K183" s="103">
        <v>1</v>
      </c>
      <c r="L183" s="187" t="s">
        <v>268</v>
      </c>
      <c r="M183" s="208"/>
      <c r="O183" s="4"/>
      <c r="P183" s="210" t="s">
        <v>24</v>
      </c>
      <c r="Q183" s="67">
        <f>H183*K183</f>
        <v>480000</v>
      </c>
    </row>
    <row r="184" spans="1:17" ht="18" customHeight="1">
      <c r="A184" s="13"/>
      <c r="B184" s="19"/>
      <c r="C184" s="21"/>
      <c r="D184" s="13"/>
      <c r="E184" s="69"/>
      <c r="F184" s="49"/>
      <c r="G184" s="102" t="s">
        <v>371</v>
      </c>
      <c r="H184" s="103"/>
      <c r="I184" s="103"/>
      <c r="J184" s="103"/>
      <c r="K184" s="103"/>
      <c r="L184" s="104"/>
      <c r="M184" s="103"/>
      <c r="N184" s="103"/>
      <c r="O184" s="104"/>
      <c r="P184" s="107"/>
      <c r="Q184" s="105">
        <f>SUM(Q185:Q205)</f>
        <v>22648000</v>
      </c>
    </row>
    <row r="185" spans="1:17" ht="18" customHeight="1">
      <c r="A185" s="13"/>
      <c r="B185" s="19"/>
      <c r="C185" s="21"/>
      <c r="D185" s="13"/>
      <c r="E185" s="69"/>
      <c r="F185" s="49"/>
      <c r="G185" s="207" t="s">
        <v>372</v>
      </c>
      <c r="H185" s="103">
        <v>10000</v>
      </c>
      <c r="I185" s="103" t="s">
        <v>2</v>
      </c>
      <c r="J185" s="103" t="s">
        <v>246</v>
      </c>
      <c r="K185" s="103">
        <v>200</v>
      </c>
      <c r="L185" s="187" t="s">
        <v>373</v>
      </c>
      <c r="M185" s="103"/>
      <c r="N185" s="103"/>
      <c r="O185" s="104"/>
      <c r="P185" s="107" t="s">
        <v>24</v>
      </c>
      <c r="Q185" s="67">
        <f>H185*K185</f>
        <v>2000000</v>
      </c>
    </row>
    <row r="186" spans="1:17" ht="18" customHeight="1">
      <c r="A186" s="13"/>
      <c r="B186" s="19"/>
      <c r="C186" s="21"/>
      <c r="D186" s="13"/>
      <c r="E186" s="69"/>
      <c r="F186" s="49"/>
      <c r="G186" s="207" t="s">
        <v>531</v>
      </c>
      <c r="H186" s="103">
        <v>80000</v>
      </c>
      <c r="I186" s="103" t="s">
        <v>2</v>
      </c>
      <c r="J186" s="103" t="s">
        <v>246</v>
      </c>
      <c r="K186" s="103">
        <v>8</v>
      </c>
      <c r="L186" s="187" t="s">
        <v>294</v>
      </c>
      <c r="M186" s="103"/>
      <c r="N186" s="103"/>
      <c r="O186" s="104"/>
      <c r="P186" s="109" t="s">
        <v>529</v>
      </c>
      <c r="Q186" s="67">
        <f>H186*K186</f>
        <v>640000</v>
      </c>
    </row>
    <row r="187" spans="1:17" ht="18" customHeight="1">
      <c r="A187" s="13"/>
      <c r="B187" s="19"/>
      <c r="C187" s="21"/>
      <c r="D187" s="13"/>
      <c r="E187" s="69"/>
      <c r="F187" s="49"/>
      <c r="G187" s="207" t="s">
        <v>378</v>
      </c>
      <c r="H187" s="103"/>
      <c r="I187" s="103"/>
      <c r="J187" s="103"/>
      <c r="K187" s="103"/>
      <c r="L187" s="104"/>
      <c r="M187" s="208"/>
      <c r="O187" s="4"/>
      <c r="P187" s="210"/>
      <c r="Q187" s="67"/>
    </row>
    <row r="188" spans="1:17" ht="18" customHeight="1">
      <c r="A188" s="13"/>
      <c r="B188" s="19"/>
      <c r="C188" s="21"/>
      <c r="D188" s="13"/>
      <c r="E188" s="69"/>
      <c r="F188" s="49"/>
      <c r="G188" s="207" t="s">
        <v>379</v>
      </c>
      <c r="H188" s="103">
        <v>450000</v>
      </c>
      <c r="I188" s="103" t="s">
        <v>2</v>
      </c>
      <c r="J188" s="103" t="s">
        <v>246</v>
      </c>
      <c r="K188" s="103">
        <v>8</v>
      </c>
      <c r="L188" s="187" t="s">
        <v>262</v>
      </c>
      <c r="M188" s="103"/>
      <c r="N188" s="103"/>
      <c r="O188" s="104"/>
      <c r="P188" s="107" t="s">
        <v>24</v>
      </c>
      <c r="Q188" s="67">
        <f>H188*K188</f>
        <v>3600000</v>
      </c>
    </row>
    <row r="189" spans="1:17" ht="18" customHeight="1">
      <c r="A189" s="13"/>
      <c r="B189" s="19"/>
      <c r="C189" s="21"/>
      <c r="D189" s="13"/>
      <c r="E189" s="69"/>
      <c r="F189" s="49"/>
      <c r="G189" s="207" t="s">
        <v>380</v>
      </c>
      <c r="H189" s="103"/>
      <c r="I189" s="103"/>
      <c r="J189" s="103"/>
      <c r="K189" s="103"/>
      <c r="L189" s="104"/>
      <c r="M189" s="103"/>
      <c r="N189" s="103"/>
      <c r="O189" s="104"/>
      <c r="P189" s="107"/>
      <c r="Q189" s="105"/>
    </row>
    <row r="190" spans="1:17" ht="18" customHeight="1">
      <c r="A190" s="13"/>
      <c r="B190" s="19"/>
      <c r="C190" s="21"/>
      <c r="D190" s="13"/>
      <c r="E190" s="69"/>
      <c r="F190" s="49"/>
      <c r="G190" s="184" t="s">
        <v>384</v>
      </c>
      <c r="H190" s="103">
        <v>1600000</v>
      </c>
      <c r="I190" s="103" t="s">
        <v>2</v>
      </c>
      <c r="J190" s="103" t="s">
        <v>246</v>
      </c>
      <c r="K190" s="103">
        <v>1</v>
      </c>
      <c r="L190" s="187" t="s">
        <v>268</v>
      </c>
      <c r="M190" s="103"/>
      <c r="N190" s="103"/>
      <c r="O190" s="104"/>
      <c r="P190" s="107" t="s">
        <v>24</v>
      </c>
      <c r="Q190" s="67">
        <f>H190*K190</f>
        <v>1600000</v>
      </c>
    </row>
    <row r="191" spans="1:17" ht="18" customHeight="1">
      <c r="A191" s="13"/>
      <c r="B191" s="19"/>
      <c r="C191" s="21"/>
      <c r="D191" s="13"/>
      <c r="E191" s="69"/>
      <c r="F191" s="49"/>
      <c r="G191" s="184" t="s">
        <v>385</v>
      </c>
      <c r="H191" s="103">
        <v>2160000</v>
      </c>
      <c r="I191" s="103" t="s">
        <v>2</v>
      </c>
      <c r="J191" s="103" t="s">
        <v>246</v>
      </c>
      <c r="K191" s="103">
        <v>1</v>
      </c>
      <c r="L191" s="187" t="s">
        <v>268</v>
      </c>
      <c r="M191" s="103"/>
      <c r="N191" s="103"/>
      <c r="O191" s="104"/>
      <c r="P191" s="107" t="s">
        <v>24</v>
      </c>
      <c r="Q191" s="67">
        <f>H191*K191</f>
        <v>2160000</v>
      </c>
    </row>
    <row r="192" spans="1:17" ht="18" customHeight="1">
      <c r="A192" s="13"/>
      <c r="B192" s="19"/>
      <c r="C192" s="21"/>
      <c r="D192" s="13"/>
      <c r="E192" s="69"/>
      <c r="F192" s="49"/>
      <c r="G192" s="184" t="s">
        <v>530</v>
      </c>
      <c r="H192" s="103">
        <v>96000</v>
      </c>
      <c r="I192" s="191" t="s">
        <v>527</v>
      </c>
      <c r="J192" s="103" t="s">
        <v>246</v>
      </c>
      <c r="K192" s="103">
        <v>8</v>
      </c>
      <c r="L192" s="187" t="s">
        <v>294</v>
      </c>
      <c r="M192" s="103"/>
      <c r="N192" s="103"/>
      <c r="O192" s="104"/>
      <c r="P192" s="109" t="s">
        <v>529</v>
      </c>
      <c r="Q192" s="67">
        <f>H192*K192</f>
        <v>768000</v>
      </c>
    </row>
    <row r="193" spans="1:17" ht="18" customHeight="1">
      <c r="A193" s="13"/>
      <c r="B193" s="19"/>
      <c r="C193" s="21"/>
      <c r="D193" s="13"/>
      <c r="E193" s="69"/>
      <c r="F193" s="49"/>
      <c r="G193" s="184" t="s">
        <v>386</v>
      </c>
      <c r="H193" s="103">
        <v>500000</v>
      </c>
      <c r="I193" s="103" t="s">
        <v>2</v>
      </c>
      <c r="J193" s="103" t="s">
        <v>246</v>
      </c>
      <c r="K193" s="103">
        <v>1</v>
      </c>
      <c r="L193" s="187" t="s">
        <v>268</v>
      </c>
      <c r="M193" s="191" t="s">
        <v>214</v>
      </c>
      <c r="N193" s="191" t="s">
        <v>270</v>
      </c>
      <c r="O193" s="187" t="s">
        <v>214</v>
      </c>
      <c r="P193" s="107" t="s">
        <v>24</v>
      </c>
      <c r="Q193" s="67">
        <f>H193*K193</f>
        <v>500000</v>
      </c>
    </row>
    <row r="194" spans="1:17" ht="18" customHeight="1">
      <c r="A194" s="13"/>
      <c r="B194" s="19"/>
      <c r="C194" s="21"/>
      <c r="D194" s="13"/>
      <c r="E194" s="69"/>
      <c r="F194" s="49"/>
      <c r="G194" s="207" t="s">
        <v>481</v>
      </c>
      <c r="H194" s="103"/>
      <c r="I194" s="103"/>
      <c r="J194" s="103"/>
      <c r="K194" s="103"/>
      <c r="L194" s="104"/>
      <c r="M194" s="208"/>
      <c r="O194" s="4"/>
      <c r="P194" s="210"/>
      <c r="Q194" s="67"/>
    </row>
    <row r="195" spans="1:17" ht="18" customHeight="1">
      <c r="A195" s="13"/>
      <c r="B195" s="19"/>
      <c r="C195" s="21"/>
      <c r="D195" s="13"/>
      <c r="E195" s="69"/>
      <c r="F195" s="49"/>
      <c r="G195" s="207" t="s">
        <v>482</v>
      </c>
      <c r="H195" s="103">
        <v>20000</v>
      </c>
      <c r="I195" s="103" t="s">
        <v>2</v>
      </c>
      <c r="J195" s="103" t="s">
        <v>246</v>
      </c>
      <c r="K195" s="103">
        <v>1</v>
      </c>
      <c r="L195" s="187" t="s">
        <v>50</v>
      </c>
      <c r="M195" s="103" t="s">
        <v>246</v>
      </c>
      <c r="N195" s="4">
        <v>14</v>
      </c>
      <c r="O195" s="234" t="s">
        <v>0</v>
      </c>
      <c r="P195" s="107" t="s">
        <v>24</v>
      </c>
      <c r="Q195" s="67">
        <f>H195*K195*N195</f>
        <v>280000</v>
      </c>
    </row>
    <row r="196" spans="1:17" ht="18" customHeight="1">
      <c r="A196" s="13"/>
      <c r="B196" s="19"/>
      <c r="C196" s="21"/>
      <c r="D196" s="13"/>
      <c r="E196" s="69"/>
      <c r="F196" s="49"/>
      <c r="G196" s="207" t="s">
        <v>483</v>
      </c>
      <c r="H196" s="103">
        <v>40000</v>
      </c>
      <c r="I196" s="103" t="s">
        <v>2</v>
      </c>
      <c r="J196" s="103" t="s">
        <v>246</v>
      </c>
      <c r="K196" s="103">
        <v>8</v>
      </c>
      <c r="L196" s="187" t="s">
        <v>50</v>
      </c>
      <c r="M196" s="103" t="s">
        <v>246</v>
      </c>
      <c r="N196" s="4">
        <v>14</v>
      </c>
      <c r="O196" s="234" t="s">
        <v>0</v>
      </c>
      <c r="P196" s="107" t="s">
        <v>24</v>
      </c>
      <c r="Q196" s="67">
        <f>H196*K196*N196</f>
        <v>4480000</v>
      </c>
    </row>
    <row r="197" spans="1:17" ht="18" customHeight="1">
      <c r="A197" s="13"/>
      <c r="B197" s="19"/>
      <c r="C197" s="21"/>
      <c r="D197" s="13"/>
      <c r="E197" s="69"/>
      <c r="F197" s="49"/>
      <c r="G197" s="207" t="s">
        <v>387</v>
      </c>
      <c r="H197" s="103">
        <v>500000</v>
      </c>
      <c r="I197" s="103" t="s">
        <v>2</v>
      </c>
      <c r="J197" s="103" t="s">
        <v>246</v>
      </c>
      <c r="K197" s="103">
        <v>2</v>
      </c>
      <c r="L197" s="187" t="s">
        <v>50</v>
      </c>
      <c r="M197" s="208"/>
      <c r="O197" s="4"/>
      <c r="P197" s="210" t="s">
        <v>24</v>
      </c>
      <c r="Q197" s="67">
        <f>H197*K197</f>
        <v>1000000</v>
      </c>
    </row>
    <row r="198" spans="1:17" ht="18" customHeight="1">
      <c r="A198" s="13"/>
      <c r="B198" s="19"/>
      <c r="C198" s="21"/>
      <c r="D198" s="13"/>
      <c r="E198" s="69"/>
      <c r="F198" s="49"/>
      <c r="G198" s="207" t="s">
        <v>388</v>
      </c>
      <c r="H198" s="103"/>
      <c r="I198" s="103"/>
      <c r="J198" s="103"/>
      <c r="K198" s="103"/>
      <c r="L198" s="104"/>
      <c r="M198" s="103"/>
      <c r="N198" s="103"/>
      <c r="O198" s="104"/>
      <c r="P198" s="107"/>
      <c r="Q198" s="67"/>
    </row>
    <row r="199" spans="1:17" ht="18" customHeight="1">
      <c r="A199" s="13"/>
      <c r="B199" s="19"/>
      <c r="C199" s="21"/>
      <c r="D199" s="13"/>
      <c r="E199" s="69"/>
      <c r="F199" s="49"/>
      <c r="G199" s="184" t="s">
        <v>389</v>
      </c>
      <c r="H199" s="103">
        <v>200000</v>
      </c>
      <c r="I199" s="103" t="s">
        <v>2</v>
      </c>
      <c r="J199" s="103" t="s">
        <v>246</v>
      </c>
      <c r="K199" s="103">
        <v>2</v>
      </c>
      <c r="L199" s="187" t="s">
        <v>50</v>
      </c>
      <c r="M199" s="103"/>
      <c r="N199" s="103"/>
      <c r="O199" s="104"/>
      <c r="P199" s="107" t="s">
        <v>24</v>
      </c>
      <c r="Q199" s="67">
        <f>H199*K199</f>
        <v>400000</v>
      </c>
    </row>
    <row r="200" spans="1:17" ht="18" customHeight="1">
      <c r="A200" s="13"/>
      <c r="B200" s="19"/>
      <c r="C200" s="21"/>
      <c r="D200" s="13"/>
      <c r="E200" s="69"/>
      <c r="F200" s="49"/>
      <c r="G200" s="184" t="s">
        <v>484</v>
      </c>
      <c r="H200" s="103">
        <v>1000000</v>
      </c>
      <c r="I200" s="103" t="s">
        <v>2</v>
      </c>
      <c r="J200" s="103" t="s">
        <v>246</v>
      </c>
      <c r="K200" s="103">
        <v>1</v>
      </c>
      <c r="L200" s="187" t="s">
        <v>50</v>
      </c>
      <c r="M200" s="103"/>
      <c r="N200" s="103"/>
      <c r="O200" s="104"/>
      <c r="P200" s="107" t="s">
        <v>24</v>
      </c>
      <c r="Q200" s="67">
        <f>H200*K200</f>
        <v>1000000</v>
      </c>
    </row>
    <row r="201" spans="1:17" ht="18" customHeight="1">
      <c r="A201" s="13"/>
      <c r="B201" s="19"/>
      <c r="C201" s="21"/>
      <c r="D201" s="13"/>
      <c r="E201" s="69"/>
      <c r="F201" s="49"/>
      <c r="G201" s="184" t="s">
        <v>390</v>
      </c>
      <c r="H201" s="103">
        <v>1120000</v>
      </c>
      <c r="I201" s="103" t="s">
        <v>2</v>
      </c>
      <c r="J201" s="103" t="s">
        <v>246</v>
      </c>
      <c r="K201" s="103">
        <v>1</v>
      </c>
      <c r="L201" s="187" t="s">
        <v>449</v>
      </c>
      <c r="M201" s="103"/>
      <c r="N201" s="103"/>
      <c r="O201" s="104"/>
      <c r="P201" s="107" t="s">
        <v>24</v>
      </c>
      <c r="Q201" s="67">
        <f>H201*K201</f>
        <v>1120000</v>
      </c>
    </row>
    <row r="202" spans="1:17" ht="18" customHeight="1">
      <c r="A202" s="13"/>
      <c r="B202" s="19"/>
      <c r="C202" s="21"/>
      <c r="D202" s="13"/>
      <c r="E202" s="69"/>
      <c r="F202" s="49"/>
      <c r="G202" s="260" t="s">
        <v>522</v>
      </c>
      <c r="H202" s="103">
        <v>2000000</v>
      </c>
      <c r="I202" s="191" t="s">
        <v>523</v>
      </c>
      <c r="J202" s="103"/>
      <c r="K202" s="103"/>
      <c r="L202" s="187"/>
      <c r="M202" s="103"/>
      <c r="N202" s="103"/>
      <c r="O202" s="104"/>
      <c r="P202" s="261" t="s">
        <v>524</v>
      </c>
      <c r="Q202" s="67">
        <f>H202</f>
        <v>2000000</v>
      </c>
    </row>
    <row r="203" spans="1:17" ht="18" customHeight="1">
      <c r="A203" s="13"/>
      <c r="B203" s="19"/>
      <c r="C203" s="21"/>
      <c r="D203" s="13"/>
      <c r="E203" s="69"/>
      <c r="F203" s="49"/>
      <c r="G203" s="207" t="s">
        <v>448</v>
      </c>
      <c r="H203" s="103"/>
      <c r="I203" s="103"/>
      <c r="J203" s="103"/>
      <c r="K203" s="103"/>
      <c r="L203" s="104"/>
      <c r="M203" s="103"/>
      <c r="N203" s="103"/>
      <c r="O203" s="104"/>
      <c r="P203" s="107"/>
      <c r="Q203" s="235" t="s">
        <v>445</v>
      </c>
    </row>
    <row r="204" spans="1:17" ht="18" customHeight="1">
      <c r="A204" s="13"/>
      <c r="B204" s="19"/>
      <c r="C204" s="21"/>
      <c r="D204" s="13"/>
      <c r="E204" s="69"/>
      <c r="F204" s="49"/>
      <c r="G204" s="184" t="s">
        <v>450</v>
      </c>
      <c r="H204" s="103">
        <v>600000</v>
      </c>
      <c r="I204" s="191" t="s">
        <v>451</v>
      </c>
      <c r="J204" s="103"/>
      <c r="K204" s="103"/>
      <c r="L204" s="187"/>
      <c r="M204" s="103"/>
      <c r="N204" s="103"/>
      <c r="O204" s="104"/>
      <c r="P204" s="107" t="s">
        <v>24</v>
      </c>
      <c r="Q204" s="67">
        <f>H204</f>
        <v>600000</v>
      </c>
    </row>
    <row r="205" spans="1:17" ht="18" customHeight="1">
      <c r="A205" s="13"/>
      <c r="B205" s="19"/>
      <c r="C205" s="21"/>
      <c r="D205" s="13"/>
      <c r="E205" s="69"/>
      <c r="F205" s="49"/>
      <c r="G205" s="184" t="s">
        <v>485</v>
      </c>
      <c r="H205" s="103">
        <v>500000</v>
      </c>
      <c r="I205" s="103" t="s">
        <v>2</v>
      </c>
      <c r="J205" s="103"/>
      <c r="K205" s="103"/>
      <c r="L205" s="187"/>
      <c r="M205" s="103"/>
      <c r="N205" s="103"/>
      <c r="O205" s="104"/>
      <c r="P205" s="107" t="s">
        <v>24</v>
      </c>
      <c r="Q205" s="67">
        <f>H205</f>
        <v>500000</v>
      </c>
    </row>
    <row r="206" spans="1:17" ht="18" customHeight="1">
      <c r="A206" s="13"/>
      <c r="B206" s="19"/>
      <c r="C206" s="21"/>
      <c r="D206" s="13"/>
      <c r="E206" s="69"/>
      <c r="F206" s="49"/>
      <c r="G206" s="102" t="s">
        <v>391</v>
      </c>
      <c r="H206" s="103"/>
      <c r="I206" s="103"/>
      <c r="J206" s="103"/>
      <c r="K206" s="103"/>
      <c r="L206" s="104"/>
      <c r="M206" s="103"/>
      <c r="N206" s="103"/>
      <c r="O206" s="104"/>
      <c r="P206" s="107"/>
      <c r="Q206" s="105">
        <f>SUM(Q207:Q212)</f>
        <v>6720000</v>
      </c>
    </row>
    <row r="207" spans="1:17" ht="18" customHeight="1">
      <c r="A207" s="13"/>
      <c r="B207" s="19"/>
      <c r="C207" s="21"/>
      <c r="D207" s="13"/>
      <c r="E207" s="69"/>
      <c r="F207" s="49"/>
      <c r="G207" s="106" t="s">
        <v>264</v>
      </c>
      <c r="H207" s="103">
        <v>1100000</v>
      </c>
      <c r="I207" s="103" t="s">
        <v>2</v>
      </c>
      <c r="J207" s="103" t="s">
        <v>246</v>
      </c>
      <c r="K207" s="103">
        <v>1</v>
      </c>
      <c r="L207" s="104" t="s">
        <v>27</v>
      </c>
      <c r="M207" s="103"/>
      <c r="N207" s="103"/>
      <c r="O207" s="104"/>
      <c r="P207" s="107" t="s">
        <v>24</v>
      </c>
      <c r="Q207" s="67">
        <f aca="true" t="shared" si="2" ref="Q207:Q212">H207*K207</f>
        <v>1100000</v>
      </c>
    </row>
    <row r="208" spans="1:17" ht="18" customHeight="1">
      <c r="A208" s="13"/>
      <c r="B208" s="19"/>
      <c r="C208" s="21"/>
      <c r="D208" s="13"/>
      <c r="E208" s="69"/>
      <c r="F208" s="49"/>
      <c r="G208" s="106" t="s">
        <v>265</v>
      </c>
      <c r="H208" s="103">
        <v>350000</v>
      </c>
      <c r="I208" s="103" t="s">
        <v>2</v>
      </c>
      <c r="J208" s="103" t="s">
        <v>246</v>
      </c>
      <c r="K208" s="103">
        <v>1</v>
      </c>
      <c r="L208" s="104" t="s">
        <v>27</v>
      </c>
      <c r="M208" s="103"/>
      <c r="N208" s="103"/>
      <c r="O208" s="104"/>
      <c r="P208" s="107" t="s">
        <v>24</v>
      </c>
      <c r="Q208" s="67">
        <f t="shared" si="2"/>
        <v>350000</v>
      </c>
    </row>
    <row r="209" spans="1:17" ht="18" customHeight="1">
      <c r="A209" s="13"/>
      <c r="B209" s="19"/>
      <c r="C209" s="21"/>
      <c r="D209" s="13"/>
      <c r="E209" s="69"/>
      <c r="F209" s="49"/>
      <c r="G209" s="106" t="s">
        <v>266</v>
      </c>
      <c r="H209" s="103">
        <v>50000</v>
      </c>
      <c r="I209" s="103" t="s">
        <v>2</v>
      </c>
      <c r="J209" s="103" t="s">
        <v>246</v>
      </c>
      <c r="K209" s="103">
        <v>1</v>
      </c>
      <c r="L209" s="104" t="s">
        <v>27</v>
      </c>
      <c r="M209" s="103"/>
      <c r="N209" s="103"/>
      <c r="O209" s="104"/>
      <c r="P209" s="107" t="s">
        <v>24</v>
      </c>
      <c r="Q209" s="67">
        <f t="shared" si="2"/>
        <v>50000</v>
      </c>
    </row>
    <row r="210" spans="1:17" ht="18" customHeight="1">
      <c r="A210" s="13"/>
      <c r="B210" s="19"/>
      <c r="C210" s="21"/>
      <c r="D210" s="13"/>
      <c r="E210" s="69"/>
      <c r="F210" s="49"/>
      <c r="G210" s="207" t="s">
        <v>267</v>
      </c>
      <c r="H210" s="103">
        <v>50000</v>
      </c>
      <c r="I210" s="103" t="s">
        <v>2</v>
      </c>
      <c r="J210" s="103" t="s">
        <v>246</v>
      </c>
      <c r="K210" s="103">
        <v>18</v>
      </c>
      <c r="L210" s="104" t="s">
        <v>224</v>
      </c>
      <c r="M210" s="103"/>
      <c r="N210" s="103"/>
      <c r="O210" s="104"/>
      <c r="P210" s="107" t="s">
        <v>24</v>
      </c>
      <c r="Q210" s="67">
        <f>H210*K210</f>
        <v>900000</v>
      </c>
    </row>
    <row r="211" spans="1:17" ht="18" customHeight="1">
      <c r="A211" s="13"/>
      <c r="B211" s="19"/>
      <c r="C211" s="21"/>
      <c r="D211" s="13"/>
      <c r="E211" s="69"/>
      <c r="F211" s="49"/>
      <c r="G211" s="207" t="s">
        <v>350</v>
      </c>
      <c r="H211" s="103">
        <v>20000</v>
      </c>
      <c r="I211" s="103" t="s">
        <v>2</v>
      </c>
      <c r="J211" s="103" t="s">
        <v>246</v>
      </c>
      <c r="K211" s="103">
        <v>12</v>
      </c>
      <c r="L211" s="104" t="s">
        <v>224</v>
      </c>
      <c r="M211" s="103" t="s">
        <v>246</v>
      </c>
      <c r="N211" s="103">
        <v>4</v>
      </c>
      <c r="O211" s="187" t="s">
        <v>50</v>
      </c>
      <c r="P211" s="107" t="s">
        <v>24</v>
      </c>
      <c r="Q211" s="67">
        <f>H211*K211*N211</f>
        <v>960000</v>
      </c>
    </row>
    <row r="212" spans="1:17" ht="18" customHeight="1">
      <c r="A212" s="13"/>
      <c r="B212" s="19"/>
      <c r="C212" s="21"/>
      <c r="D212" s="13"/>
      <c r="E212" s="69"/>
      <c r="F212" s="49"/>
      <c r="G212" s="207" t="s">
        <v>392</v>
      </c>
      <c r="H212" s="103">
        <v>280000</v>
      </c>
      <c r="I212" s="103" t="s">
        <v>171</v>
      </c>
      <c r="J212" s="103" t="s">
        <v>225</v>
      </c>
      <c r="K212" s="103">
        <v>12</v>
      </c>
      <c r="L212" s="104" t="s">
        <v>221</v>
      </c>
      <c r="M212" s="208"/>
      <c r="N212" s="208"/>
      <c r="O212" s="209"/>
      <c r="P212" s="210"/>
      <c r="Q212" s="67">
        <f t="shared" si="2"/>
        <v>3360000</v>
      </c>
    </row>
    <row r="213" spans="1:17" ht="18" customHeight="1">
      <c r="A213" s="13"/>
      <c r="B213" s="19"/>
      <c r="C213" s="43"/>
      <c r="D213" s="13"/>
      <c r="E213" s="69"/>
      <c r="F213" s="49"/>
      <c r="G213" s="102" t="s">
        <v>271</v>
      </c>
      <c r="H213" s="103"/>
      <c r="I213" s="103"/>
      <c r="J213" s="103"/>
      <c r="K213" s="103"/>
      <c r="L213" s="104"/>
      <c r="M213" s="103"/>
      <c r="N213" s="103"/>
      <c r="O213" s="104"/>
      <c r="P213" s="103"/>
      <c r="Q213" s="105">
        <f>SUM(Q214:Q219)</f>
        <v>8590000</v>
      </c>
    </row>
    <row r="214" spans="1:17" ht="18" customHeight="1">
      <c r="A214" s="13"/>
      <c r="B214" s="19"/>
      <c r="C214" s="21"/>
      <c r="D214" s="13"/>
      <c r="E214" s="69"/>
      <c r="F214" s="49"/>
      <c r="G214" s="207" t="s">
        <v>513</v>
      </c>
      <c r="H214" s="103">
        <v>4000000</v>
      </c>
      <c r="I214" s="103" t="s">
        <v>2</v>
      </c>
      <c r="J214" s="103" t="s">
        <v>246</v>
      </c>
      <c r="K214" s="103">
        <v>1</v>
      </c>
      <c r="L214" s="187" t="s">
        <v>520</v>
      </c>
      <c r="M214" s="103"/>
      <c r="N214" s="103"/>
      <c r="O214" s="104"/>
      <c r="P214" s="107" t="s">
        <v>24</v>
      </c>
      <c r="Q214" s="67">
        <f aca="true" t="shared" si="3" ref="Q214:Q219">H214*K214</f>
        <v>4000000</v>
      </c>
    </row>
    <row r="215" spans="1:17" ht="18" customHeight="1">
      <c r="A215" s="13"/>
      <c r="B215" s="19"/>
      <c r="C215" s="21"/>
      <c r="D215" s="13"/>
      <c r="E215" s="69"/>
      <c r="F215" s="49"/>
      <c r="G215" s="207" t="s">
        <v>514</v>
      </c>
      <c r="H215" s="103">
        <v>900000</v>
      </c>
      <c r="I215" s="103" t="s">
        <v>2</v>
      </c>
      <c r="J215" s="103" t="s">
        <v>246</v>
      </c>
      <c r="K215" s="103">
        <v>2</v>
      </c>
      <c r="L215" s="187" t="s">
        <v>260</v>
      </c>
      <c r="M215" s="103"/>
      <c r="N215" s="103"/>
      <c r="O215" s="104"/>
      <c r="P215" s="107" t="s">
        <v>24</v>
      </c>
      <c r="Q215" s="67">
        <f t="shared" si="3"/>
        <v>1800000</v>
      </c>
    </row>
    <row r="216" spans="1:17" ht="18" customHeight="1">
      <c r="A216" s="13"/>
      <c r="B216" s="19"/>
      <c r="C216" s="21"/>
      <c r="D216" s="13"/>
      <c r="E216" s="69"/>
      <c r="F216" s="49"/>
      <c r="G216" s="207" t="s">
        <v>515</v>
      </c>
      <c r="H216" s="103">
        <v>690000</v>
      </c>
      <c r="I216" s="103" t="s">
        <v>2</v>
      </c>
      <c r="J216" s="103" t="s">
        <v>246</v>
      </c>
      <c r="K216" s="103">
        <v>1</v>
      </c>
      <c r="L216" s="187" t="s">
        <v>351</v>
      </c>
      <c r="M216" s="103"/>
      <c r="N216" s="103"/>
      <c r="O216" s="104"/>
      <c r="P216" s="107" t="s">
        <v>24</v>
      </c>
      <c r="Q216" s="67">
        <f t="shared" si="3"/>
        <v>690000</v>
      </c>
    </row>
    <row r="217" spans="1:17" ht="18" customHeight="1">
      <c r="A217" s="13"/>
      <c r="B217" s="19"/>
      <c r="C217" s="21"/>
      <c r="D217" s="13"/>
      <c r="E217" s="69"/>
      <c r="F217" s="49"/>
      <c r="G217" s="207" t="s">
        <v>516</v>
      </c>
      <c r="H217" s="103">
        <v>750000</v>
      </c>
      <c r="I217" s="103" t="s">
        <v>2</v>
      </c>
      <c r="J217" s="103" t="s">
        <v>246</v>
      </c>
      <c r="K217" s="103">
        <v>1</v>
      </c>
      <c r="L217" s="187" t="s">
        <v>351</v>
      </c>
      <c r="M217" s="103"/>
      <c r="N217" s="103"/>
      <c r="O217" s="104"/>
      <c r="P217" s="107" t="s">
        <v>24</v>
      </c>
      <c r="Q217" s="67">
        <f t="shared" si="3"/>
        <v>750000</v>
      </c>
    </row>
    <row r="218" spans="1:17" ht="18" customHeight="1">
      <c r="A218" s="13"/>
      <c r="B218" s="19"/>
      <c r="C218" s="21"/>
      <c r="D218" s="13"/>
      <c r="E218" s="69"/>
      <c r="F218" s="49"/>
      <c r="G218" s="207" t="s">
        <v>517</v>
      </c>
      <c r="H218" s="103">
        <v>550000</v>
      </c>
      <c r="I218" s="103" t="s">
        <v>2</v>
      </c>
      <c r="J218" s="103" t="s">
        <v>246</v>
      </c>
      <c r="K218" s="103">
        <v>1</v>
      </c>
      <c r="L218" s="187" t="s">
        <v>272</v>
      </c>
      <c r="M218" s="103"/>
      <c r="N218" s="103"/>
      <c r="O218" s="104"/>
      <c r="P218" s="107" t="s">
        <v>24</v>
      </c>
      <c r="Q218" s="67">
        <f t="shared" si="3"/>
        <v>550000</v>
      </c>
    </row>
    <row r="219" spans="1:17" ht="18" customHeight="1">
      <c r="A219" s="13"/>
      <c r="B219" s="21"/>
      <c r="C219" s="27"/>
      <c r="D219" s="158"/>
      <c r="E219" s="69"/>
      <c r="F219" s="196"/>
      <c r="G219" s="207" t="s">
        <v>518</v>
      </c>
      <c r="H219" s="103">
        <v>400000</v>
      </c>
      <c r="I219" s="191" t="s">
        <v>519</v>
      </c>
      <c r="J219" s="103" t="s">
        <v>246</v>
      </c>
      <c r="K219" s="103">
        <v>2</v>
      </c>
      <c r="L219" s="187" t="s">
        <v>272</v>
      </c>
      <c r="M219" s="103"/>
      <c r="N219" s="103"/>
      <c r="O219" s="104"/>
      <c r="P219" s="107" t="s">
        <v>24</v>
      </c>
      <c r="Q219" s="67">
        <f t="shared" si="3"/>
        <v>800000</v>
      </c>
    </row>
    <row r="220" spans="1:17" ht="18" customHeight="1">
      <c r="A220" s="13"/>
      <c r="B220" s="350" t="s">
        <v>273</v>
      </c>
      <c r="C220" s="351"/>
      <c r="D220" s="206">
        <f>D221+D227+D234++D239+D243</f>
        <v>33052</v>
      </c>
      <c r="E220" s="172">
        <f>E221+E227+E234+E239+E243</f>
        <v>40436</v>
      </c>
      <c r="F220" s="173">
        <f>F221+F227+F234+F239+F243</f>
        <v>-7384</v>
      </c>
      <c r="G220" s="169"/>
      <c r="H220" s="170"/>
      <c r="I220" s="170"/>
      <c r="J220" s="170"/>
      <c r="K220" s="170"/>
      <c r="L220" s="166"/>
      <c r="M220" s="170"/>
      <c r="N220" s="170"/>
      <c r="O220" s="166"/>
      <c r="P220" s="170"/>
      <c r="Q220" s="171"/>
    </row>
    <row r="221" spans="1:17" ht="18" customHeight="1">
      <c r="A221" s="13"/>
      <c r="B221" s="14"/>
      <c r="C221" s="42" t="s">
        <v>274</v>
      </c>
      <c r="D221" s="11">
        <f>INT(Q226/1000)</f>
        <v>11220</v>
      </c>
      <c r="E221" s="70">
        <v>17883</v>
      </c>
      <c r="F221" s="48">
        <f>+D221-E221</f>
        <v>-6663</v>
      </c>
      <c r="G221" s="112"/>
      <c r="H221" s="113"/>
      <c r="I221" s="113"/>
      <c r="J221" s="113"/>
      <c r="K221" s="113"/>
      <c r="L221" s="114"/>
      <c r="M221" s="113"/>
      <c r="N221" s="113"/>
      <c r="O221" s="114"/>
      <c r="P221" s="113"/>
      <c r="Q221" s="115"/>
    </row>
    <row r="222" spans="1:17" ht="18" customHeight="1">
      <c r="A222" s="13"/>
      <c r="B222" s="19"/>
      <c r="C222" s="43"/>
      <c r="D222" s="13"/>
      <c r="E222" s="69"/>
      <c r="F222" s="49"/>
      <c r="G222" s="102" t="s">
        <v>275</v>
      </c>
      <c r="H222" s="103"/>
      <c r="I222" s="103"/>
      <c r="J222" s="103"/>
      <c r="K222" s="103"/>
      <c r="L222" s="104"/>
      <c r="M222" s="103"/>
      <c r="N222" s="103"/>
      <c r="O222" s="104"/>
      <c r="P222" s="103"/>
      <c r="Q222" s="105"/>
    </row>
    <row r="223" spans="1:17" ht="18" customHeight="1">
      <c r="A223" s="13"/>
      <c r="B223" s="19"/>
      <c r="C223" s="21"/>
      <c r="D223" s="13"/>
      <c r="E223" s="69"/>
      <c r="F223" s="49"/>
      <c r="G223" s="106" t="s">
        <v>276</v>
      </c>
      <c r="H223" s="103">
        <v>800000</v>
      </c>
      <c r="I223" s="103" t="s">
        <v>2</v>
      </c>
      <c r="J223" s="103"/>
      <c r="K223" s="103"/>
      <c r="L223" s="104"/>
      <c r="M223" s="103"/>
      <c r="N223" s="103"/>
      <c r="O223" s="104"/>
      <c r="P223" s="107" t="s">
        <v>24</v>
      </c>
      <c r="Q223" s="67">
        <f>H223</f>
        <v>800000</v>
      </c>
    </row>
    <row r="224" spans="1:17" ht="18" customHeight="1">
      <c r="A224" s="13"/>
      <c r="B224" s="19"/>
      <c r="C224" s="21"/>
      <c r="D224" s="13"/>
      <c r="E224" s="69"/>
      <c r="F224" s="49"/>
      <c r="G224" s="207" t="s">
        <v>277</v>
      </c>
      <c r="H224" s="103">
        <v>8820000</v>
      </c>
      <c r="I224" s="103" t="s">
        <v>2</v>
      </c>
      <c r="J224" s="103"/>
      <c r="K224" s="103"/>
      <c r="L224" s="104"/>
      <c r="M224" s="103"/>
      <c r="N224" s="103"/>
      <c r="O224" s="104"/>
      <c r="P224" s="107" t="s">
        <v>24</v>
      </c>
      <c r="Q224" s="67">
        <f>H224</f>
        <v>8820000</v>
      </c>
    </row>
    <row r="225" spans="1:17" ht="18" customHeight="1">
      <c r="A225" s="13"/>
      <c r="B225" s="19"/>
      <c r="C225" s="21"/>
      <c r="D225" s="13"/>
      <c r="E225" s="69"/>
      <c r="F225" s="49"/>
      <c r="G225" s="106" t="s">
        <v>278</v>
      </c>
      <c r="H225" s="103">
        <v>1600000</v>
      </c>
      <c r="I225" s="103" t="s">
        <v>2</v>
      </c>
      <c r="J225" s="103"/>
      <c r="K225" s="103"/>
      <c r="L225" s="104"/>
      <c r="M225" s="103"/>
      <c r="N225" s="103"/>
      <c r="O225" s="104"/>
      <c r="P225" s="107" t="s">
        <v>24</v>
      </c>
      <c r="Q225" s="67">
        <f>H225</f>
        <v>1600000</v>
      </c>
    </row>
    <row r="226" spans="1:17" ht="18" customHeight="1">
      <c r="A226" s="13"/>
      <c r="B226" s="19"/>
      <c r="C226" s="25"/>
      <c r="D226" s="39"/>
      <c r="E226" s="71"/>
      <c r="F226" s="47"/>
      <c r="G226" s="346" t="s">
        <v>28</v>
      </c>
      <c r="H226" s="346"/>
      <c r="I226" s="346"/>
      <c r="J226" s="346"/>
      <c r="K226" s="346"/>
      <c r="L226" s="346"/>
      <c r="M226" s="346"/>
      <c r="N226" s="346"/>
      <c r="O226" s="346"/>
      <c r="P226" s="346"/>
      <c r="Q226" s="140">
        <f>SUM(Q223:Q225)</f>
        <v>11220000</v>
      </c>
    </row>
    <row r="227" spans="1:17" ht="18" customHeight="1">
      <c r="A227" s="13"/>
      <c r="B227" s="19"/>
      <c r="C227" s="42" t="s">
        <v>279</v>
      </c>
      <c r="D227" s="11">
        <f>INT(Q233/1000)</f>
        <v>6060</v>
      </c>
      <c r="E227" s="70">
        <v>4661</v>
      </c>
      <c r="F227" s="48">
        <f>+D227-E227</f>
        <v>1399</v>
      </c>
      <c r="G227" s="112"/>
      <c r="H227" s="113"/>
      <c r="I227" s="113"/>
      <c r="J227" s="113"/>
      <c r="K227" s="113"/>
      <c r="L227" s="114"/>
      <c r="M227" s="113"/>
      <c r="N227" s="113"/>
      <c r="O227" s="114"/>
      <c r="P227" s="113"/>
      <c r="Q227" s="115"/>
    </row>
    <row r="228" spans="1:17" ht="18" customHeight="1">
      <c r="A228" s="13"/>
      <c r="B228" s="19"/>
      <c r="C228" s="43"/>
      <c r="D228" s="13"/>
      <c r="E228" s="69"/>
      <c r="F228" s="49"/>
      <c r="G228" s="102" t="s">
        <v>280</v>
      </c>
      <c r="H228" s="103"/>
      <c r="I228" s="103"/>
      <c r="J228" s="103"/>
      <c r="K228" s="103"/>
      <c r="L228" s="104"/>
      <c r="M228" s="103"/>
      <c r="N228" s="103"/>
      <c r="O228" s="104"/>
      <c r="P228" s="103"/>
      <c r="Q228" s="105"/>
    </row>
    <row r="229" spans="1:17" ht="18" customHeight="1">
      <c r="A229" s="13"/>
      <c r="B229" s="19"/>
      <c r="C229" s="21"/>
      <c r="D229" s="13"/>
      <c r="E229" s="69"/>
      <c r="F229" s="49"/>
      <c r="G229" s="207" t="s">
        <v>281</v>
      </c>
      <c r="H229" s="103">
        <v>504000</v>
      </c>
      <c r="I229" s="103" t="s">
        <v>2</v>
      </c>
      <c r="J229" s="103" t="s">
        <v>246</v>
      </c>
      <c r="K229" s="103">
        <v>1</v>
      </c>
      <c r="L229" s="187" t="s">
        <v>282</v>
      </c>
      <c r="M229" s="103"/>
      <c r="N229" s="110"/>
      <c r="O229" s="111"/>
      <c r="P229" s="107" t="s">
        <v>24</v>
      </c>
      <c r="Q229" s="67">
        <f>H229*K229</f>
        <v>504000</v>
      </c>
    </row>
    <row r="230" spans="1:17" ht="18" customHeight="1">
      <c r="A230" s="13"/>
      <c r="B230" s="19"/>
      <c r="C230" s="21"/>
      <c r="D230" s="13"/>
      <c r="E230" s="69"/>
      <c r="F230" s="49"/>
      <c r="G230" s="207" t="s">
        <v>283</v>
      </c>
      <c r="H230" s="103">
        <v>3876000</v>
      </c>
      <c r="I230" s="103" t="s">
        <v>2</v>
      </c>
      <c r="J230" s="103" t="s">
        <v>246</v>
      </c>
      <c r="K230" s="103">
        <v>1</v>
      </c>
      <c r="L230" s="187" t="s">
        <v>282</v>
      </c>
      <c r="M230" s="103"/>
      <c r="N230" s="110"/>
      <c r="O230" s="111"/>
      <c r="P230" s="107" t="s">
        <v>24</v>
      </c>
      <c r="Q230" s="67">
        <f>H230*K230</f>
        <v>3876000</v>
      </c>
    </row>
    <row r="231" spans="1:17" ht="18" customHeight="1">
      <c r="A231" s="13"/>
      <c r="B231" s="19"/>
      <c r="C231" s="27"/>
      <c r="D231" s="13"/>
      <c r="E231" s="19"/>
      <c r="F231" s="49"/>
      <c r="G231" s="106" t="s">
        <v>284</v>
      </c>
      <c r="H231" s="103">
        <v>1680000</v>
      </c>
      <c r="I231" s="103" t="s">
        <v>2</v>
      </c>
      <c r="J231" s="103" t="s">
        <v>246</v>
      </c>
      <c r="K231" s="103">
        <v>1</v>
      </c>
      <c r="L231" s="187" t="s">
        <v>268</v>
      </c>
      <c r="M231" s="103"/>
      <c r="N231" s="103"/>
      <c r="O231" s="104"/>
      <c r="P231" s="107" t="s">
        <v>24</v>
      </c>
      <c r="Q231" s="67">
        <f>H231*K231</f>
        <v>1680000</v>
      </c>
    </row>
    <row r="232" spans="1:17" ht="18" customHeight="1">
      <c r="A232" s="13"/>
      <c r="B232" s="19"/>
      <c r="C232" s="27"/>
      <c r="D232" s="13"/>
      <c r="E232" s="19"/>
      <c r="F232" s="49"/>
      <c r="G232" s="207" t="s">
        <v>486</v>
      </c>
      <c r="H232" s="103"/>
      <c r="I232" s="103" t="s">
        <v>2</v>
      </c>
      <c r="J232" s="103" t="s">
        <v>246</v>
      </c>
      <c r="K232" s="103">
        <v>1</v>
      </c>
      <c r="L232" s="187" t="s">
        <v>487</v>
      </c>
      <c r="M232" s="103"/>
      <c r="N232" s="103"/>
      <c r="O232" s="104"/>
      <c r="P232" s="107" t="s">
        <v>24</v>
      </c>
      <c r="Q232" s="67">
        <f>H232*K232</f>
        <v>0</v>
      </c>
    </row>
    <row r="233" spans="1:17" ht="18" customHeight="1">
      <c r="A233" s="13"/>
      <c r="B233" s="19"/>
      <c r="C233" s="25"/>
      <c r="D233" s="39"/>
      <c r="E233" s="24"/>
      <c r="F233" s="47"/>
      <c r="G233" s="346" t="s">
        <v>28</v>
      </c>
      <c r="H233" s="346"/>
      <c r="I233" s="346"/>
      <c r="J233" s="346"/>
      <c r="K233" s="346"/>
      <c r="L233" s="346"/>
      <c r="M233" s="346"/>
      <c r="N233" s="346"/>
      <c r="O233" s="346"/>
      <c r="P233" s="346"/>
      <c r="Q233" s="140">
        <f>SUM(Q229:Q232)</f>
        <v>6060000</v>
      </c>
    </row>
    <row r="234" spans="1:17" ht="18" customHeight="1">
      <c r="A234" s="13"/>
      <c r="B234" s="19"/>
      <c r="C234" s="188" t="s">
        <v>285</v>
      </c>
      <c r="D234" s="11">
        <f>INT(Q238/1000)</f>
        <v>11568</v>
      </c>
      <c r="E234" s="70">
        <v>12961</v>
      </c>
      <c r="F234" s="48">
        <f>+D234-E234</f>
        <v>-1393</v>
      </c>
      <c r="G234" s="112"/>
      <c r="H234" s="113"/>
      <c r="I234" s="113"/>
      <c r="J234" s="113"/>
      <c r="K234" s="113"/>
      <c r="L234" s="114"/>
      <c r="M234" s="113"/>
      <c r="N234" s="113"/>
      <c r="O234" s="114"/>
      <c r="P234" s="113"/>
      <c r="Q234" s="115"/>
    </row>
    <row r="235" spans="1:17" ht="18" customHeight="1">
      <c r="A235" s="13"/>
      <c r="B235" s="19"/>
      <c r="C235" s="43"/>
      <c r="D235" s="13"/>
      <c r="E235" s="69"/>
      <c r="F235" s="49"/>
      <c r="G235" s="102" t="s">
        <v>286</v>
      </c>
      <c r="H235" s="103"/>
      <c r="I235" s="103"/>
      <c r="J235" s="103"/>
      <c r="K235" s="103"/>
      <c r="L235" s="104"/>
      <c r="M235" s="103"/>
      <c r="N235" s="103"/>
      <c r="O235" s="104"/>
      <c r="P235" s="103"/>
      <c r="Q235" s="105"/>
    </row>
    <row r="236" spans="1:17" ht="18" customHeight="1">
      <c r="A236" s="13"/>
      <c r="B236" s="19"/>
      <c r="C236" s="21"/>
      <c r="D236" s="13"/>
      <c r="E236" s="69"/>
      <c r="F236" s="49"/>
      <c r="G236" s="207" t="s">
        <v>287</v>
      </c>
      <c r="H236" s="103">
        <v>5248000</v>
      </c>
      <c r="I236" s="103" t="s">
        <v>2</v>
      </c>
      <c r="J236" s="103" t="s">
        <v>246</v>
      </c>
      <c r="K236" s="103">
        <v>1</v>
      </c>
      <c r="L236" s="187" t="s">
        <v>282</v>
      </c>
      <c r="M236" s="187"/>
      <c r="N236" s="110"/>
      <c r="O236" s="111"/>
      <c r="P236" s="107" t="s">
        <v>24</v>
      </c>
      <c r="Q236" s="67">
        <f>H236*K236</f>
        <v>5248000</v>
      </c>
    </row>
    <row r="237" spans="1:17" ht="18" customHeight="1">
      <c r="A237" s="13"/>
      <c r="B237" s="19"/>
      <c r="C237" s="27"/>
      <c r="D237" s="13"/>
      <c r="E237" s="19"/>
      <c r="F237" s="49"/>
      <c r="G237" s="207" t="s">
        <v>288</v>
      </c>
      <c r="H237" s="103">
        <v>6320000</v>
      </c>
      <c r="I237" s="103" t="s">
        <v>2</v>
      </c>
      <c r="J237" s="103" t="s">
        <v>246</v>
      </c>
      <c r="K237" s="103">
        <v>1</v>
      </c>
      <c r="L237" s="187" t="s">
        <v>282</v>
      </c>
      <c r="M237" s="187"/>
      <c r="N237" s="103"/>
      <c r="O237" s="104"/>
      <c r="P237" s="107" t="s">
        <v>24</v>
      </c>
      <c r="Q237" s="67">
        <f>H237*K237</f>
        <v>6320000</v>
      </c>
    </row>
    <row r="238" spans="1:17" ht="18" customHeight="1">
      <c r="A238" s="13"/>
      <c r="B238" s="19"/>
      <c r="C238" s="25"/>
      <c r="D238" s="39"/>
      <c r="E238" s="24"/>
      <c r="F238" s="47"/>
      <c r="G238" s="346" t="s">
        <v>28</v>
      </c>
      <c r="H238" s="346"/>
      <c r="I238" s="346"/>
      <c r="J238" s="346"/>
      <c r="K238" s="346"/>
      <c r="L238" s="346"/>
      <c r="M238" s="346"/>
      <c r="N238" s="346"/>
      <c r="O238" s="346"/>
      <c r="P238" s="346"/>
      <c r="Q238" s="140">
        <f>SUM(Q236:Q237)</f>
        <v>11568000</v>
      </c>
    </row>
    <row r="239" spans="1:17" ht="18" customHeight="1">
      <c r="A239" s="13"/>
      <c r="B239" s="19"/>
      <c r="C239" s="188" t="s">
        <v>454</v>
      </c>
      <c r="D239" s="11">
        <f>INT(Q242/1000)</f>
        <v>3200</v>
      </c>
      <c r="E239" s="70">
        <v>4000</v>
      </c>
      <c r="F239" s="48">
        <f>+D239-E239</f>
        <v>-800</v>
      </c>
      <c r="G239" s="112"/>
      <c r="H239" s="113"/>
      <c r="I239" s="113"/>
      <c r="J239" s="113"/>
      <c r="K239" s="113"/>
      <c r="L239" s="114"/>
      <c r="M239" s="113"/>
      <c r="N239" s="113"/>
      <c r="O239" s="114"/>
      <c r="P239" s="113"/>
      <c r="Q239" s="115"/>
    </row>
    <row r="240" spans="1:17" ht="18" customHeight="1">
      <c r="A240" s="13"/>
      <c r="B240" s="19"/>
      <c r="C240" s="43"/>
      <c r="D240" s="13"/>
      <c r="E240" s="69"/>
      <c r="F240" s="49"/>
      <c r="G240" s="102" t="s">
        <v>453</v>
      </c>
      <c r="H240" s="103"/>
      <c r="I240" s="103"/>
      <c r="J240" s="103"/>
      <c r="K240" s="103"/>
      <c r="L240" s="104"/>
      <c r="M240" s="103"/>
      <c r="N240" s="103"/>
      <c r="O240" s="104"/>
      <c r="P240" s="103"/>
      <c r="Q240" s="105"/>
    </row>
    <row r="241" spans="1:17" ht="18" customHeight="1">
      <c r="A241" s="13"/>
      <c r="B241" s="19"/>
      <c r="C241" s="21"/>
      <c r="D241" s="13"/>
      <c r="E241" s="69"/>
      <c r="F241" s="49"/>
      <c r="G241" s="207" t="s">
        <v>455</v>
      </c>
      <c r="H241" s="103">
        <v>3200000</v>
      </c>
      <c r="I241" s="103" t="s">
        <v>2</v>
      </c>
      <c r="J241" s="103" t="s">
        <v>246</v>
      </c>
      <c r="K241" s="103">
        <v>1</v>
      </c>
      <c r="L241" s="187" t="s">
        <v>521</v>
      </c>
      <c r="M241" s="187"/>
      <c r="N241" s="110"/>
      <c r="O241" s="111"/>
      <c r="P241" s="107" t="s">
        <v>24</v>
      </c>
      <c r="Q241" s="67">
        <f>H241*K241</f>
        <v>3200000</v>
      </c>
    </row>
    <row r="242" spans="1:17" ht="18" customHeight="1">
      <c r="A242" s="13"/>
      <c r="B242" s="19"/>
      <c r="C242" s="25"/>
      <c r="D242" s="39"/>
      <c r="E242" s="24"/>
      <c r="F242" s="47"/>
      <c r="G242" s="346" t="s">
        <v>28</v>
      </c>
      <c r="H242" s="346"/>
      <c r="I242" s="346"/>
      <c r="J242" s="346"/>
      <c r="K242" s="346"/>
      <c r="L242" s="346"/>
      <c r="M242" s="346"/>
      <c r="N242" s="346"/>
      <c r="O242" s="346"/>
      <c r="P242" s="346"/>
      <c r="Q242" s="140">
        <f>SUM(Q241:Q241)</f>
        <v>3200000</v>
      </c>
    </row>
    <row r="243" spans="1:17" ht="18" customHeight="1">
      <c r="A243" s="13"/>
      <c r="B243" s="19"/>
      <c r="C243" s="188" t="s">
        <v>452</v>
      </c>
      <c r="D243" s="11">
        <f>INT(Q247/1000)</f>
        <v>1004</v>
      </c>
      <c r="E243" s="70">
        <v>931</v>
      </c>
      <c r="F243" s="48">
        <f>+D243-E243</f>
        <v>73</v>
      </c>
      <c r="G243" s="112"/>
      <c r="H243" s="113"/>
      <c r="I243" s="113"/>
      <c r="J243" s="113"/>
      <c r="K243" s="113"/>
      <c r="L243" s="114"/>
      <c r="M243" s="113"/>
      <c r="N243" s="113"/>
      <c r="O243" s="114"/>
      <c r="P243" s="113"/>
      <c r="Q243" s="115"/>
    </row>
    <row r="244" spans="1:17" ht="18" customHeight="1">
      <c r="A244" s="13"/>
      <c r="B244" s="19"/>
      <c r="C244" s="43"/>
      <c r="D244" s="13"/>
      <c r="E244" s="69"/>
      <c r="F244" s="49"/>
      <c r="G244" s="102" t="s">
        <v>120</v>
      </c>
      <c r="H244" s="103"/>
      <c r="I244" s="103"/>
      <c r="J244" s="103"/>
      <c r="K244" s="103"/>
      <c r="L244" s="104"/>
      <c r="M244" s="103"/>
      <c r="N244" s="103"/>
      <c r="O244" s="104"/>
      <c r="P244" s="103"/>
      <c r="Q244" s="105" t="s">
        <v>358</v>
      </c>
    </row>
    <row r="245" spans="1:17" ht="18" customHeight="1">
      <c r="A245" s="13"/>
      <c r="B245" s="19"/>
      <c r="C245" s="43"/>
      <c r="D245" s="13"/>
      <c r="E245" s="69"/>
      <c r="F245" s="49"/>
      <c r="G245" s="106" t="s">
        <v>84</v>
      </c>
      <c r="H245" s="103">
        <v>1800</v>
      </c>
      <c r="I245" s="103" t="s">
        <v>2</v>
      </c>
      <c r="J245" s="191" t="s">
        <v>127</v>
      </c>
      <c r="K245" s="103">
        <v>172</v>
      </c>
      <c r="L245" s="104" t="s">
        <v>52</v>
      </c>
      <c r="M245" s="191" t="s">
        <v>127</v>
      </c>
      <c r="N245" s="110">
        <v>1</v>
      </c>
      <c r="O245" s="111" t="s">
        <v>4</v>
      </c>
      <c r="P245" s="107" t="s">
        <v>24</v>
      </c>
      <c r="Q245" s="67">
        <f>ROUNDUP(H245*K245*N245,-3)</f>
        <v>310000</v>
      </c>
    </row>
    <row r="246" spans="1:17" ht="17.25" customHeight="1">
      <c r="A246" s="13"/>
      <c r="B246" s="19"/>
      <c r="C246" s="43"/>
      <c r="D246" s="13"/>
      <c r="E246" s="69"/>
      <c r="F246" s="49"/>
      <c r="G246" s="207" t="s">
        <v>357</v>
      </c>
      <c r="H246" s="103">
        <v>694000</v>
      </c>
      <c r="I246" s="103" t="s">
        <v>2</v>
      </c>
      <c r="J246" s="191" t="s">
        <v>127</v>
      </c>
      <c r="K246" s="103">
        <v>1</v>
      </c>
      <c r="L246" s="187" t="s">
        <v>50</v>
      </c>
      <c r="M246" s="191"/>
      <c r="N246" s="103"/>
      <c r="O246" s="104"/>
      <c r="P246" s="107" t="s">
        <v>24</v>
      </c>
      <c r="Q246" s="67">
        <f>ROUNDUP(H246*K246,-3)</f>
        <v>694000</v>
      </c>
    </row>
    <row r="247" spans="1:17" ht="18" customHeight="1">
      <c r="A247" s="13"/>
      <c r="B247" s="24"/>
      <c r="C247" s="25"/>
      <c r="D247" s="39"/>
      <c r="E247" s="24"/>
      <c r="F247" s="47"/>
      <c r="G247" s="346" t="s">
        <v>28</v>
      </c>
      <c r="H247" s="346"/>
      <c r="I247" s="346"/>
      <c r="J247" s="346"/>
      <c r="K247" s="346"/>
      <c r="L247" s="346"/>
      <c r="M247" s="346"/>
      <c r="N247" s="346"/>
      <c r="O247" s="346"/>
      <c r="P247" s="346"/>
      <c r="Q247" s="140">
        <f>SUM(Q245:Q246)</f>
        <v>1004000</v>
      </c>
    </row>
    <row r="248" spans="1:17" ht="18" customHeight="1">
      <c r="A248" s="347" t="s">
        <v>289</v>
      </c>
      <c r="B248" s="348"/>
      <c r="C248" s="348"/>
      <c r="D248" s="142">
        <f>D249+D252</f>
        <v>700</v>
      </c>
      <c r="E248" s="162">
        <f>E249+E252</f>
        <v>1462</v>
      </c>
      <c r="F248" s="144">
        <f>F249+F252</f>
        <v>-762</v>
      </c>
      <c r="G248" s="164"/>
      <c r="H248" s="143"/>
      <c r="I248" s="143"/>
      <c r="J248" s="143"/>
      <c r="K248" s="143"/>
      <c r="L248" s="161"/>
      <c r="M248" s="143"/>
      <c r="N248" s="143"/>
      <c r="O248" s="161"/>
      <c r="P248" s="143"/>
      <c r="Q248" s="165"/>
    </row>
    <row r="249" spans="1:17" ht="18" customHeight="1">
      <c r="A249" s="38"/>
      <c r="B249" s="350" t="s">
        <v>290</v>
      </c>
      <c r="C249" s="351"/>
      <c r="D249" s="167">
        <f>D250</f>
        <v>700</v>
      </c>
      <c r="E249" s="167">
        <f>E250</f>
        <v>502</v>
      </c>
      <c r="F249" s="173">
        <f>F250</f>
        <v>198</v>
      </c>
      <c r="G249" s="169"/>
      <c r="H249" s="170"/>
      <c r="I249" s="170"/>
      <c r="J249" s="170"/>
      <c r="K249" s="170"/>
      <c r="L249" s="166"/>
      <c r="M249" s="170"/>
      <c r="N249" s="170"/>
      <c r="O249" s="166"/>
      <c r="P249" s="170"/>
      <c r="Q249" s="171"/>
    </row>
    <row r="250" spans="1:17" ht="15.75" customHeight="1">
      <c r="A250" s="13"/>
      <c r="B250" s="14"/>
      <c r="C250" s="42" t="s">
        <v>291</v>
      </c>
      <c r="D250" s="11">
        <f>INT(Q251/1000)</f>
        <v>700</v>
      </c>
      <c r="E250" s="14">
        <v>502</v>
      </c>
      <c r="F250" s="48">
        <f>+D250-E250</f>
        <v>198</v>
      </c>
      <c r="G250" s="112"/>
      <c r="H250" s="113"/>
      <c r="I250" s="113"/>
      <c r="J250" s="113"/>
      <c r="K250" s="113"/>
      <c r="L250" s="114"/>
      <c r="M250" s="113"/>
      <c r="N250" s="113"/>
      <c r="O250" s="114"/>
      <c r="P250" s="113"/>
      <c r="Q250" s="115"/>
    </row>
    <row r="251" spans="1:17" ht="15.75" customHeight="1">
      <c r="A251" s="13"/>
      <c r="B251" s="101"/>
      <c r="C251" s="43"/>
      <c r="D251" s="13"/>
      <c r="E251" s="19"/>
      <c r="F251" s="49"/>
      <c r="G251" s="102" t="s">
        <v>292</v>
      </c>
      <c r="H251" s="103"/>
      <c r="I251" s="103"/>
      <c r="J251" s="103"/>
      <c r="K251" s="103"/>
      <c r="L251" s="104"/>
      <c r="M251" s="103"/>
      <c r="N251" s="103"/>
      <c r="O251" s="104"/>
      <c r="P251" s="103"/>
      <c r="Q251" s="67">
        <v>700000</v>
      </c>
    </row>
    <row r="252" spans="1:17" ht="18" customHeight="1">
      <c r="A252" s="13"/>
      <c r="B252" s="312" t="s">
        <v>293</v>
      </c>
      <c r="C252" s="353"/>
      <c r="D252" s="154">
        <f>D253</f>
        <v>0</v>
      </c>
      <c r="E252" s="131">
        <f>E253</f>
        <v>960</v>
      </c>
      <c r="F252" s="156">
        <f>D252-E252</f>
        <v>-960</v>
      </c>
      <c r="G252" s="157"/>
      <c r="H252" s="131"/>
      <c r="I252" s="131"/>
      <c r="J252" s="131"/>
      <c r="K252" s="131"/>
      <c r="L252" s="174"/>
      <c r="M252" s="131"/>
      <c r="N252" s="131"/>
      <c r="O252" s="174"/>
      <c r="P252" s="131"/>
      <c r="Q252" s="132"/>
    </row>
    <row r="253" spans="1:17" ht="15" customHeight="1">
      <c r="A253" s="13"/>
      <c r="B253" s="14"/>
      <c r="C253" s="42" t="s">
        <v>85</v>
      </c>
      <c r="D253" s="11">
        <f>INT(Q254/1000)</f>
        <v>0</v>
      </c>
      <c r="E253" s="14">
        <v>960</v>
      </c>
      <c r="F253" s="48">
        <f>+D253-E253</f>
        <v>-960</v>
      </c>
      <c r="G253" s="112"/>
      <c r="H253" s="113"/>
      <c r="I253" s="113"/>
      <c r="J253" s="113"/>
      <c r="K253" s="113"/>
      <c r="L253" s="114"/>
      <c r="M253" s="113"/>
      <c r="N253" s="113"/>
      <c r="O253" s="114"/>
      <c r="P253" s="113"/>
      <c r="Q253" s="115"/>
    </row>
    <row r="254" spans="1:17" ht="15" customHeight="1">
      <c r="A254" s="13"/>
      <c r="B254" s="19"/>
      <c r="C254" s="43"/>
      <c r="D254" s="13"/>
      <c r="E254" s="19"/>
      <c r="F254" s="49"/>
      <c r="G254" s="102" t="s">
        <v>121</v>
      </c>
      <c r="H254" s="116"/>
      <c r="I254" s="117" t="s">
        <v>3</v>
      </c>
      <c r="J254" s="117" t="s">
        <v>151</v>
      </c>
      <c r="K254" s="116"/>
      <c r="L254" s="111" t="s">
        <v>294</v>
      </c>
      <c r="M254" s="117"/>
      <c r="N254" s="110"/>
      <c r="O254" s="111"/>
      <c r="P254" s="103"/>
      <c r="Q254" s="67">
        <f>H254*K254</f>
        <v>0</v>
      </c>
    </row>
    <row r="255" spans="1:17" ht="18" customHeight="1">
      <c r="A255" s="349" t="s">
        <v>111</v>
      </c>
      <c r="B255" s="348"/>
      <c r="C255" s="348"/>
      <c r="D255" s="142">
        <f aca="true" t="shared" si="4" ref="D255:F256">SUM(D256)</f>
        <v>1000</v>
      </c>
      <c r="E255" s="175">
        <f t="shared" si="4"/>
        <v>0</v>
      </c>
      <c r="F255" s="163">
        <f t="shared" si="4"/>
        <v>1000</v>
      </c>
      <c r="G255" s="164"/>
      <c r="H255" s="143"/>
      <c r="I255" s="143"/>
      <c r="J255" s="143"/>
      <c r="K255" s="143"/>
      <c r="L255" s="161"/>
      <c r="M255" s="143"/>
      <c r="N255" s="143"/>
      <c r="O255" s="161"/>
      <c r="P255" s="143"/>
      <c r="Q255" s="165"/>
    </row>
    <row r="256" spans="1:17" ht="18" customHeight="1">
      <c r="A256" s="38"/>
      <c r="B256" s="350" t="s">
        <v>42</v>
      </c>
      <c r="C256" s="351"/>
      <c r="D256" s="167">
        <f t="shared" si="4"/>
        <v>1000</v>
      </c>
      <c r="E256" s="172">
        <f t="shared" si="4"/>
        <v>0</v>
      </c>
      <c r="F256" s="145">
        <f t="shared" si="4"/>
        <v>1000</v>
      </c>
      <c r="G256" s="169"/>
      <c r="H256" s="170"/>
      <c r="I256" s="170"/>
      <c r="J256" s="170"/>
      <c r="K256" s="170"/>
      <c r="L256" s="166"/>
      <c r="M256" s="170"/>
      <c r="N256" s="170"/>
      <c r="O256" s="166"/>
      <c r="P256" s="170"/>
      <c r="Q256" s="171"/>
    </row>
    <row r="257" spans="1:17" ht="13.5" customHeight="1">
      <c r="A257" s="13"/>
      <c r="B257" s="14"/>
      <c r="C257" s="42" t="s">
        <v>42</v>
      </c>
      <c r="D257" s="11">
        <v>1000</v>
      </c>
      <c r="E257" s="14">
        <v>0</v>
      </c>
      <c r="F257" s="48">
        <f>+D257-E257</f>
        <v>1000</v>
      </c>
      <c r="G257" s="112"/>
      <c r="H257" s="113"/>
      <c r="I257" s="113"/>
      <c r="J257" s="113"/>
      <c r="K257" s="113"/>
      <c r="L257" s="114"/>
      <c r="M257" s="113"/>
      <c r="N257" s="113"/>
      <c r="O257" s="114"/>
      <c r="P257" s="113"/>
      <c r="Q257" s="115"/>
    </row>
    <row r="258" spans="1:17" ht="15" customHeight="1">
      <c r="A258" s="13"/>
      <c r="B258" s="19"/>
      <c r="C258" s="43"/>
      <c r="D258" s="13"/>
      <c r="E258" s="19"/>
      <c r="F258" s="49"/>
      <c r="G258" s="102" t="s">
        <v>295</v>
      </c>
      <c r="H258" s="116">
        <v>1000000</v>
      </c>
      <c r="I258" s="117" t="s">
        <v>3</v>
      </c>
      <c r="J258" s="117"/>
      <c r="K258" s="116"/>
      <c r="L258" s="111"/>
      <c r="M258" s="117"/>
      <c r="N258" s="110"/>
      <c r="O258" s="111"/>
      <c r="P258" s="103"/>
      <c r="Q258" s="67">
        <f>H258</f>
        <v>1000000</v>
      </c>
    </row>
    <row r="259" spans="1:17" ht="18" customHeight="1">
      <c r="A259" s="349" t="s">
        <v>112</v>
      </c>
      <c r="B259" s="348"/>
      <c r="C259" s="348"/>
      <c r="D259" s="142">
        <f>SUM(D260)</f>
        <v>327216</v>
      </c>
      <c r="E259" s="162">
        <f>SUM(E260)</f>
        <v>321118</v>
      </c>
      <c r="F259" s="144">
        <f>SUM(F260)</f>
        <v>6098</v>
      </c>
      <c r="G259" s="164"/>
      <c r="H259" s="143"/>
      <c r="I259" s="143"/>
      <c r="J259" s="143"/>
      <c r="K259" s="143"/>
      <c r="L259" s="161"/>
      <c r="M259" s="143"/>
      <c r="N259" s="143"/>
      <c r="O259" s="161"/>
      <c r="P259" s="143"/>
      <c r="Q259" s="165"/>
    </row>
    <row r="260" spans="1:17" ht="18" customHeight="1">
      <c r="A260" s="38"/>
      <c r="B260" s="350" t="s">
        <v>296</v>
      </c>
      <c r="C260" s="351"/>
      <c r="D260" s="206">
        <f>SUM(D261+D267+D271+D277)</f>
        <v>327216</v>
      </c>
      <c r="E260" s="172">
        <f>SUM(E261+E267+E271+E277)</f>
        <v>321118</v>
      </c>
      <c r="F260" s="168">
        <f>SUM(F261+F267+F271+F277)</f>
        <v>6098</v>
      </c>
      <c r="G260" s="169"/>
      <c r="H260" s="170"/>
      <c r="I260" s="170"/>
      <c r="J260" s="170"/>
      <c r="K260" s="170"/>
      <c r="L260" s="166"/>
      <c r="M260" s="170"/>
      <c r="N260" s="170"/>
      <c r="O260" s="166"/>
      <c r="P260" s="170"/>
      <c r="Q260" s="171"/>
    </row>
    <row r="261" spans="1:17" ht="18" customHeight="1">
      <c r="A261" s="13"/>
      <c r="B261" s="14"/>
      <c r="C261" s="188" t="s">
        <v>297</v>
      </c>
      <c r="D261" s="13">
        <f>INT(Q266/1000)</f>
        <v>124760</v>
      </c>
      <c r="E261" s="19">
        <v>116359</v>
      </c>
      <c r="F261" s="49">
        <f>+D261-E261</f>
        <v>8401</v>
      </c>
      <c r="G261" s="44"/>
      <c r="H261" s="17"/>
      <c r="I261" s="17"/>
      <c r="J261" s="17"/>
      <c r="K261" s="17"/>
      <c r="L261" s="33"/>
      <c r="M261" s="17"/>
      <c r="N261" s="17"/>
      <c r="O261" s="33"/>
      <c r="P261" s="17"/>
      <c r="Q261" s="61"/>
    </row>
    <row r="262" spans="1:17" ht="15" customHeight="1">
      <c r="A262" s="13"/>
      <c r="B262" s="19"/>
      <c r="C262" s="43"/>
      <c r="D262" s="13"/>
      <c r="E262" s="19"/>
      <c r="F262" s="49"/>
      <c r="G262" s="211" t="s">
        <v>298</v>
      </c>
      <c r="H262" s="27"/>
      <c r="I262" s="27"/>
      <c r="J262" s="27"/>
      <c r="K262" s="27"/>
      <c r="L262" s="34"/>
      <c r="M262" s="27"/>
      <c r="N262" s="27"/>
      <c r="O262" s="34"/>
      <c r="P262" s="27"/>
      <c r="Q262" s="203"/>
    </row>
    <row r="263" spans="1:17" ht="15" customHeight="1">
      <c r="A263" s="13"/>
      <c r="B263" s="19"/>
      <c r="C263" s="43"/>
      <c r="D263" s="13"/>
      <c r="E263" s="19"/>
      <c r="F263" s="49"/>
      <c r="G263" s="45"/>
      <c r="H263" s="30">
        <v>9550000</v>
      </c>
      <c r="I263" s="31" t="s">
        <v>3</v>
      </c>
      <c r="J263" s="31" t="s">
        <v>151</v>
      </c>
      <c r="K263" s="30">
        <v>12</v>
      </c>
      <c r="L263" s="205" t="s">
        <v>352</v>
      </c>
      <c r="M263" s="31"/>
      <c r="N263" s="32"/>
      <c r="O263" s="205"/>
      <c r="P263" s="27" t="s">
        <v>38</v>
      </c>
      <c r="Q263" s="63">
        <f>H263*K263</f>
        <v>114600000</v>
      </c>
    </row>
    <row r="264" spans="1:17" ht="15" customHeight="1">
      <c r="A264" s="13"/>
      <c r="B264" s="19"/>
      <c r="C264" s="43"/>
      <c r="D264" s="13"/>
      <c r="E264" s="19"/>
      <c r="F264" s="49"/>
      <c r="G264" s="211" t="s">
        <v>299</v>
      </c>
      <c r="H264" s="27"/>
      <c r="I264" s="27"/>
      <c r="J264" s="27"/>
      <c r="K264" s="27"/>
      <c r="L264" s="34"/>
      <c r="M264" s="27"/>
      <c r="N264" s="27"/>
      <c r="O264" s="34"/>
      <c r="P264" s="27"/>
      <c r="Q264" s="203"/>
    </row>
    <row r="265" spans="1:17" ht="15" customHeight="1">
      <c r="A265" s="13"/>
      <c r="B265" s="19"/>
      <c r="C265" s="43"/>
      <c r="D265" s="13"/>
      <c r="E265" s="19"/>
      <c r="F265" s="49"/>
      <c r="G265" s="45"/>
      <c r="H265" s="30">
        <v>923636</v>
      </c>
      <c r="I265" s="31" t="s">
        <v>3</v>
      </c>
      <c r="J265" s="31" t="s">
        <v>151</v>
      </c>
      <c r="K265" s="30">
        <v>11</v>
      </c>
      <c r="L265" s="205" t="s">
        <v>51</v>
      </c>
      <c r="M265" s="31"/>
      <c r="N265" s="32"/>
      <c r="O265" s="51"/>
      <c r="P265" s="27" t="s">
        <v>38</v>
      </c>
      <c r="Q265" s="63">
        <f>ROUNDUP(H265*K265,-1)</f>
        <v>10160000</v>
      </c>
    </row>
    <row r="266" spans="1:17" ht="18" customHeight="1">
      <c r="A266" s="13"/>
      <c r="B266" s="19"/>
      <c r="C266" s="43"/>
      <c r="D266" s="13"/>
      <c r="E266" s="19"/>
      <c r="F266" s="49"/>
      <c r="G266" s="212"/>
      <c r="H266" s="213" t="s">
        <v>40</v>
      </c>
      <c r="I266" s="213" t="s">
        <v>53</v>
      </c>
      <c r="J266" s="213" t="s">
        <v>41</v>
      </c>
      <c r="K266" s="214"/>
      <c r="L266" s="213"/>
      <c r="M266" s="213"/>
      <c r="N266" s="213"/>
      <c r="O266" s="213"/>
      <c r="P266" s="213"/>
      <c r="Q266" s="215">
        <f>SUM(Q263:Q265)</f>
        <v>124760000</v>
      </c>
    </row>
    <row r="267" spans="1:17" ht="18" customHeight="1">
      <c r="A267" s="13"/>
      <c r="B267" s="19"/>
      <c r="C267" s="188" t="s">
        <v>300</v>
      </c>
      <c r="D267" s="11">
        <f>INT(Q270/1000)</f>
        <v>29940</v>
      </c>
      <c r="E267" s="14">
        <v>16789</v>
      </c>
      <c r="F267" s="48">
        <f>+D267-E267</f>
        <v>13151</v>
      </c>
      <c r="G267" s="44"/>
      <c r="H267" s="17"/>
      <c r="I267" s="17"/>
      <c r="J267" s="17" t="s">
        <v>53</v>
      </c>
      <c r="K267" s="17"/>
      <c r="L267" s="33"/>
      <c r="M267" s="17"/>
      <c r="N267" s="17"/>
      <c r="O267" s="33"/>
      <c r="P267" s="17"/>
      <c r="Q267" s="203"/>
    </row>
    <row r="268" spans="1:17" ht="18" customHeight="1">
      <c r="A268" s="13"/>
      <c r="B268" s="19"/>
      <c r="C268" s="43"/>
      <c r="D268" s="13"/>
      <c r="E268" s="19"/>
      <c r="F268" s="49"/>
      <c r="G268" s="46" t="s">
        <v>301</v>
      </c>
      <c r="H268" s="30">
        <v>15000</v>
      </c>
      <c r="I268" s="31" t="s">
        <v>3</v>
      </c>
      <c r="J268" s="31" t="s">
        <v>151</v>
      </c>
      <c r="K268" s="30">
        <v>172</v>
      </c>
      <c r="L268" s="51" t="s">
        <v>52</v>
      </c>
      <c r="M268" s="31" t="s">
        <v>151</v>
      </c>
      <c r="N268" s="32">
        <v>9</v>
      </c>
      <c r="O268" s="205" t="s">
        <v>4</v>
      </c>
      <c r="P268" s="27" t="s">
        <v>38</v>
      </c>
      <c r="Q268" s="63">
        <f>H268*K268*N268</f>
        <v>23220000</v>
      </c>
    </row>
    <row r="269" spans="1:17" ht="18" customHeight="1">
      <c r="A269" s="13"/>
      <c r="B269" s="19"/>
      <c r="C269" s="43"/>
      <c r="D269" s="13"/>
      <c r="E269" s="19"/>
      <c r="F269" s="49"/>
      <c r="G269" s="46" t="s">
        <v>488</v>
      </c>
      <c r="H269" s="30">
        <v>70000</v>
      </c>
      <c r="I269" s="31" t="s">
        <v>3</v>
      </c>
      <c r="J269" s="31" t="s">
        <v>151</v>
      </c>
      <c r="K269" s="30">
        <v>96</v>
      </c>
      <c r="L269" s="51" t="s">
        <v>52</v>
      </c>
      <c r="M269" s="31" t="s">
        <v>151</v>
      </c>
      <c r="N269" s="32">
        <v>1</v>
      </c>
      <c r="O269" s="205" t="s">
        <v>4</v>
      </c>
      <c r="P269" s="27" t="s">
        <v>38</v>
      </c>
      <c r="Q269" s="63">
        <f>H269*K269*N269</f>
        <v>6720000</v>
      </c>
    </row>
    <row r="270" spans="1:17" ht="18" customHeight="1">
      <c r="A270" s="13"/>
      <c r="B270" s="19"/>
      <c r="C270" s="43"/>
      <c r="D270" s="13"/>
      <c r="E270" s="19"/>
      <c r="F270" s="49"/>
      <c r="G270" s="212"/>
      <c r="H270" s="213" t="s">
        <v>40</v>
      </c>
      <c r="I270" s="213" t="s">
        <v>53</v>
      </c>
      <c r="J270" s="213" t="s">
        <v>41</v>
      </c>
      <c r="K270" s="214"/>
      <c r="L270" s="213"/>
      <c r="M270" s="213"/>
      <c r="N270" s="213"/>
      <c r="O270" s="213"/>
      <c r="P270" s="213"/>
      <c r="Q270" s="215">
        <f>SUM(Q268:Q269)</f>
        <v>29940000</v>
      </c>
    </row>
    <row r="271" spans="1:17" ht="18" customHeight="1">
      <c r="A271" s="13"/>
      <c r="B271" s="19"/>
      <c r="C271" s="188" t="s">
        <v>302</v>
      </c>
      <c r="D271" s="11">
        <f>INT(Q276/1000)</f>
        <v>45796</v>
      </c>
      <c r="E271" s="14">
        <v>47067</v>
      </c>
      <c r="F271" s="48">
        <f>+D271-E271</f>
        <v>-1271</v>
      </c>
      <c r="G271" s="44"/>
      <c r="H271" s="17"/>
      <c r="I271" s="17"/>
      <c r="J271" s="17" t="s">
        <v>53</v>
      </c>
      <c r="K271" s="17"/>
      <c r="L271" s="33"/>
      <c r="M271" s="17"/>
      <c r="N271" s="17"/>
      <c r="O271" s="33"/>
      <c r="P271" s="17"/>
      <c r="Q271" s="203"/>
    </row>
    <row r="272" spans="1:17" ht="18" customHeight="1">
      <c r="A272" s="13"/>
      <c r="B272" s="19"/>
      <c r="C272" s="43"/>
      <c r="D272" s="13"/>
      <c r="E272" s="19"/>
      <c r="F272" s="49"/>
      <c r="G272" s="46" t="s">
        <v>54</v>
      </c>
      <c r="H272" s="27"/>
      <c r="I272" s="27"/>
      <c r="J272" s="27"/>
      <c r="K272" s="27"/>
      <c r="L272" s="34"/>
      <c r="M272" s="27"/>
      <c r="N272" s="27"/>
      <c r="O272" s="34"/>
      <c r="P272" s="27"/>
      <c r="Q272" s="203"/>
    </row>
    <row r="273" spans="1:17" ht="18" customHeight="1">
      <c r="A273" s="13"/>
      <c r="B273" s="19"/>
      <c r="C273" s="43"/>
      <c r="D273" s="13"/>
      <c r="E273" s="19"/>
      <c r="F273" s="49"/>
      <c r="G273" s="216" t="s">
        <v>303</v>
      </c>
      <c r="H273" s="30">
        <v>749000</v>
      </c>
      <c r="I273" s="31" t="s">
        <v>3</v>
      </c>
      <c r="J273" s="31" t="s">
        <v>151</v>
      </c>
      <c r="K273" s="30">
        <v>12</v>
      </c>
      <c r="L273" s="205" t="s">
        <v>456</v>
      </c>
      <c r="M273" s="31"/>
      <c r="N273" s="32"/>
      <c r="O273" s="51"/>
      <c r="P273" s="27" t="s">
        <v>38</v>
      </c>
      <c r="Q273" s="63">
        <f>H273*K273</f>
        <v>8988000</v>
      </c>
    </row>
    <row r="274" spans="1:17" ht="18" customHeight="1">
      <c r="A274" s="13"/>
      <c r="B274" s="19"/>
      <c r="C274" s="43"/>
      <c r="D274" s="13"/>
      <c r="E274" s="19"/>
      <c r="F274" s="49"/>
      <c r="G274" s="46" t="s">
        <v>148</v>
      </c>
      <c r="H274" s="27"/>
      <c r="I274" s="27"/>
      <c r="J274" s="27"/>
      <c r="K274" s="27"/>
      <c r="L274" s="34"/>
      <c r="M274" s="27"/>
      <c r="N274" s="27"/>
      <c r="O274" s="34"/>
      <c r="P274" s="27"/>
      <c r="Q274" s="203"/>
    </row>
    <row r="275" spans="1:17" ht="18" customHeight="1">
      <c r="A275" s="13"/>
      <c r="B275" s="19"/>
      <c r="C275" s="43"/>
      <c r="D275" s="13"/>
      <c r="E275" s="19"/>
      <c r="F275" s="49"/>
      <c r="G275" s="216"/>
      <c r="H275" s="30">
        <v>3067333</v>
      </c>
      <c r="I275" s="31" t="s">
        <v>3</v>
      </c>
      <c r="J275" s="31" t="s">
        <v>151</v>
      </c>
      <c r="K275" s="30">
        <v>12</v>
      </c>
      <c r="L275" s="205" t="s">
        <v>456</v>
      </c>
      <c r="M275" s="31"/>
      <c r="N275" s="32"/>
      <c r="O275" s="51"/>
      <c r="P275" s="27" t="s">
        <v>38</v>
      </c>
      <c r="Q275" s="63">
        <f>ROUNDUP(H275*K275,-1)</f>
        <v>36808000</v>
      </c>
    </row>
    <row r="276" spans="1:17" ht="18" customHeight="1">
      <c r="A276" s="13"/>
      <c r="B276" s="19"/>
      <c r="C276" s="43"/>
      <c r="D276" s="13"/>
      <c r="E276" s="19"/>
      <c r="F276" s="49"/>
      <c r="G276" s="212"/>
      <c r="H276" s="213" t="s">
        <v>40</v>
      </c>
      <c r="I276" s="213" t="s">
        <v>53</v>
      </c>
      <c r="J276" s="213" t="s">
        <v>41</v>
      </c>
      <c r="K276" s="214"/>
      <c r="L276" s="213"/>
      <c r="M276" s="213"/>
      <c r="N276" s="213"/>
      <c r="O276" s="213"/>
      <c r="P276" s="213"/>
      <c r="Q276" s="215">
        <f>SUM(Q273:Q275)</f>
        <v>45796000</v>
      </c>
    </row>
    <row r="277" spans="1:17" ht="18" customHeight="1">
      <c r="A277" s="13"/>
      <c r="B277" s="19"/>
      <c r="C277" s="188" t="s">
        <v>304</v>
      </c>
      <c r="D277" s="11">
        <f>INT(Q325/1000)</f>
        <v>126720</v>
      </c>
      <c r="E277" s="14">
        <v>140903</v>
      </c>
      <c r="F277" s="48">
        <f>+D277-E277</f>
        <v>-14183</v>
      </c>
      <c r="G277" s="44"/>
      <c r="H277" s="17"/>
      <c r="I277" s="17"/>
      <c r="J277" s="17"/>
      <c r="K277" s="17"/>
      <c r="L277" s="33"/>
      <c r="M277" s="17"/>
      <c r="N277" s="17"/>
      <c r="O277" s="33"/>
      <c r="P277" s="17"/>
      <c r="Q277" s="61"/>
    </row>
    <row r="278" spans="1:17" ht="18" customHeight="1" hidden="1">
      <c r="A278" s="13"/>
      <c r="B278" s="19"/>
      <c r="C278" s="43"/>
      <c r="D278" s="13"/>
      <c r="E278" s="19"/>
      <c r="F278" s="49"/>
      <c r="G278" s="46" t="s">
        <v>305</v>
      </c>
      <c r="H278" s="217"/>
      <c r="I278" s="45"/>
      <c r="J278" s="45"/>
      <c r="K278" s="45"/>
      <c r="L278" s="218"/>
      <c r="M278" s="45"/>
      <c r="N278" s="45"/>
      <c r="O278" s="218"/>
      <c r="P278" s="45"/>
      <c r="Q278" s="62" t="e">
        <f>Q279+Q288+Q297</f>
        <v>#REF!</v>
      </c>
    </row>
    <row r="279" spans="1:17" ht="18" customHeight="1" hidden="1">
      <c r="A279" s="13"/>
      <c r="B279" s="19"/>
      <c r="C279" s="43"/>
      <c r="D279" s="13"/>
      <c r="E279" s="19"/>
      <c r="F279" s="49"/>
      <c r="G279" s="46" t="s">
        <v>306</v>
      </c>
      <c r="H279" s="217"/>
      <c r="I279" s="45"/>
      <c r="J279" s="45"/>
      <c r="K279" s="45"/>
      <c r="L279" s="218"/>
      <c r="M279" s="45"/>
      <c r="N279" s="45"/>
      <c r="O279" s="218"/>
      <c r="P279" s="45"/>
      <c r="Q279" s="62" t="e">
        <f>SUM(Q280:Q282,Q287)</f>
        <v>#REF!</v>
      </c>
    </row>
    <row r="280" spans="1:17" ht="18" customHeight="1" hidden="1">
      <c r="A280" s="13"/>
      <c r="B280" s="19"/>
      <c r="C280" s="43"/>
      <c r="D280" s="13"/>
      <c r="E280" s="19"/>
      <c r="F280" s="49"/>
      <c r="G280" s="219" t="s">
        <v>307</v>
      </c>
      <c r="H280" s="30"/>
      <c r="I280" s="31" t="s">
        <v>3</v>
      </c>
      <c r="J280" s="31" t="s">
        <v>151</v>
      </c>
      <c r="K280" s="30"/>
      <c r="L280" s="51" t="s">
        <v>0</v>
      </c>
      <c r="M280" s="31" t="s">
        <v>269</v>
      </c>
      <c r="N280" s="32" t="s">
        <v>53</v>
      </c>
      <c r="O280" s="51" t="s">
        <v>269</v>
      </c>
      <c r="P280" s="22" t="s">
        <v>38</v>
      </c>
      <c r="Q280" s="203">
        <f>ROUNDUP(H280*K280/1000,0)*1000</f>
        <v>0</v>
      </c>
    </row>
    <row r="281" spans="1:17" ht="18" customHeight="1" hidden="1">
      <c r="A281" s="13"/>
      <c r="B281" s="19"/>
      <c r="C281" s="43"/>
      <c r="D281" s="13"/>
      <c r="E281" s="19"/>
      <c r="F281" s="49"/>
      <c r="G281" s="219" t="s">
        <v>308</v>
      </c>
      <c r="H281" s="30"/>
      <c r="I281" s="31" t="s">
        <v>3</v>
      </c>
      <c r="J281" s="31" t="s">
        <v>151</v>
      </c>
      <c r="K281" s="30"/>
      <c r="L281" s="51" t="s">
        <v>0</v>
      </c>
      <c r="M281" s="31" t="s">
        <v>151</v>
      </c>
      <c r="N281" s="32"/>
      <c r="O281" s="51" t="s">
        <v>86</v>
      </c>
      <c r="P281" s="22" t="s">
        <v>38</v>
      </c>
      <c r="Q281" s="203" t="e">
        <f>ROUNDUP(H281*K281*#REF!/1000,0)*1000</f>
        <v>#REF!</v>
      </c>
    </row>
    <row r="282" spans="1:17" ht="18" customHeight="1" hidden="1">
      <c r="A282" s="13"/>
      <c r="B282" s="19"/>
      <c r="C282" s="43"/>
      <c r="D282" s="13"/>
      <c r="E282" s="19"/>
      <c r="F282" s="49"/>
      <c r="G282" s="219" t="s">
        <v>309</v>
      </c>
      <c r="H282" s="27"/>
      <c r="I282" s="27"/>
      <c r="J282" s="27"/>
      <c r="K282" s="27"/>
      <c r="L282" s="34"/>
      <c r="M282" s="27"/>
      <c r="N282" s="27"/>
      <c r="O282" s="34"/>
      <c r="P282" s="27"/>
      <c r="Q282" s="203">
        <f>SUM(Q283:Q286)</f>
        <v>332000</v>
      </c>
    </row>
    <row r="283" spans="1:17" ht="18" customHeight="1" hidden="1">
      <c r="A283" s="13"/>
      <c r="B283" s="19"/>
      <c r="C283" s="43"/>
      <c r="D283" s="13"/>
      <c r="E283" s="19"/>
      <c r="F283" s="49"/>
      <c r="G283" s="219" t="s">
        <v>310</v>
      </c>
      <c r="H283" s="27"/>
      <c r="I283" s="31" t="s">
        <v>3</v>
      </c>
      <c r="J283" s="31" t="s">
        <v>246</v>
      </c>
      <c r="K283" s="220"/>
      <c r="L283" s="45" t="s">
        <v>311</v>
      </c>
      <c r="M283" s="27"/>
      <c r="N283" s="27"/>
      <c r="O283" s="34"/>
      <c r="P283" s="22" t="s">
        <v>38</v>
      </c>
      <c r="Q283" s="203">
        <f>ROUNDUP(H283*K283/100,-3)</f>
        <v>0</v>
      </c>
    </row>
    <row r="284" spans="1:17" ht="18" customHeight="1" hidden="1">
      <c r="A284" s="13"/>
      <c r="B284" s="19"/>
      <c r="C284" s="43"/>
      <c r="D284" s="13"/>
      <c r="E284" s="19"/>
      <c r="F284" s="49"/>
      <c r="G284" s="45" t="s">
        <v>312</v>
      </c>
      <c r="H284" s="27"/>
      <c r="I284" s="31" t="s">
        <v>3</v>
      </c>
      <c r="J284" s="31" t="s">
        <v>246</v>
      </c>
      <c r="K284" s="220"/>
      <c r="L284" s="45" t="s">
        <v>311</v>
      </c>
      <c r="M284" s="27"/>
      <c r="N284" s="27"/>
      <c r="O284" s="34"/>
      <c r="P284" s="22" t="s">
        <v>38</v>
      </c>
      <c r="Q284" s="203">
        <f>ROUNDUP(H284*K284/100,-3)</f>
        <v>0</v>
      </c>
    </row>
    <row r="285" spans="1:17" ht="18" customHeight="1" hidden="1">
      <c r="A285" s="13"/>
      <c r="B285" s="19"/>
      <c r="C285" s="43"/>
      <c r="D285" s="13"/>
      <c r="E285" s="19"/>
      <c r="F285" s="49"/>
      <c r="G285" s="45" t="s">
        <v>313</v>
      </c>
      <c r="H285" s="27"/>
      <c r="I285" s="31" t="s">
        <v>3</v>
      </c>
      <c r="J285" s="31" t="s">
        <v>246</v>
      </c>
      <c r="K285" s="221"/>
      <c r="L285" s="45" t="s">
        <v>311</v>
      </c>
      <c r="M285" s="27"/>
      <c r="N285" s="27"/>
      <c r="O285" s="34"/>
      <c r="P285" s="22" t="s">
        <v>38</v>
      </c>
      <c r="Q285" s="203">
        <v>332000</v>
      </c>
    </row>
    <row r="286" spans="1:17" ht="18" customHeight="1" hidden="1">
      <c r="A286" s="13"/>
      <c r="B286" s="19"/>
      <c r="C286" s="43"/>
      <c r="D286" s="13"/>
      <c r="E286" s="19"/>
      <c r="F286" s="49"/>
      <c r="G286" s="45" t="s">
        <v>314</v>
      </c>
      <c r="H286" s="27"/>
      <c r="I286" s="31" t="s">
        <v>3</v>
      </c>
      <c r="J286" s="31" t="s">
        <v>246</v>
      </c>
      <c r="K286" s="220"/>
      <c r="L286" s="45" t="s">
        <v>311</v>
      </c>
      <c r="M286" s="45"/>
      <c r="N286" s="45"/>
      <c r="O286" s="218"/>
      <c r="P286" s="22" t="s">
        <v>38</v>
      </c>
      <c r="Q286" s="203">
        <f>ROUNDUP(H286*K286/100,-3)</f>
        <v>0</v>
      </c>
    </row>
    <row r="287" spans="1:17" ht="18" customHeight="1" hidden="1">
      <c r="A287" s="13"/>
      <c r="B287" s="19"/>
      <c r="C287" s="43"/>
      <c r="D287" s="13"/>
      <c r="E287" s="19"/>
      <c r="F287" s="49"/>
      <c r="G287" s="219" t="s">
        <v>315</v>
      </c>
      <c r="H287" s="27"/>
      <c r="I287" s="31" t="s">
        <v>3</v>
      </c>
      <c r="J287" s="222" t="s">
        <v>316</v>
      </c>
      <c r="K287" s="30"/>
      <c r="L287" s="51" t="s">
        <v>1</v>
      </c>
      <c r="M287" s="27"/>
      <c r="N287" s="27"/>
      <c r="O287" s="34"/>
      <c r="P287" s="22" t="s">
        <v>38</v>
      </c>
      <c r="Q287" s="203" t="e">
        <f>ROUNDUP(H287/K287/1000,0)*1000</f>
        <v>#DIV/0!</v>
      </c>
    </row>
    <row r="288" spans="1:17" ht="18" customHeight="1" hidden="1">
      <c r="A288" s="13"/>
      <c r="B288" s="19"/>
      <c r="C288" s="43"/>
      <c r="D288" s="13"/>
      <c r="E288" s="19"/>
      <c r="F288" s="49"/>
      <c r="G288" s="46" t="s">
        <v>317</v>
      </c>
      <c r="H288" s="217"/>
      <c r="I288" s="45"/>
      <c r="J288" s="45"/>
      <c r="K288" s="45"/>
      <c r="L288" s="218"/>
      <c r="M288" s="45"/>
      <c r="N288" s="45"/>
      <c r="O288" s="218"/>
      <c r="P288" s="45"/>
      <c r="Q288" s="62" t="e">
        <f>SUM(Q289:Q291,Q296)</f>
        <v>#REF!</v>
      </c>
    </row>
    <row r="289" spans="1:17" ht="18" customHeight="1" hidden="1">
      <c r="A289" s="13"/>
      <c r="B289" s="19"/>
      <c r="C289" s="43"/>
      <c r="D289" s="13"/>
      <c r="E289" s="19"/>
      <c r="F289" s="49"/>
      <c r="G289" s="219" t="s">
        <v>307</v>
      </c>
      <c r="H289" s="30"/>
      <c r="I289" s="31" t="s">
        <v>3</v>
      </c>
      <c r="J289" s="31" t="s">
        <v>151</v>
      </c>
      <c r="K289" s="30"/>
      <c r="L289" s="51" t="s">
        <v>0</v>
      </c>
      <c r="M289" s="31" t="s">
        <v>269</v>
      </c>
      <c r="N289" s="32" t="s">
        <v>53</v>
      </c>
      <c r="O289" s="51" t="s">
        <v>269</v>
      </c>
      <c r="P289" s="22" t="s">
        <v>38</v>
      </c>
      <c r="Q289" s="203">
        <f>ROUNDUP(H289*K289/1000,0)*1000</f>
        <v>0</v>
      </c>
    </row>
    <row r="290" spans="1:17" ht="18" customHeight="1" hidden="1">
      <c r="A290" s="13"/>
      <c r="B290" s="19"/>
      <c r="C290" s="43"/>
      <c r="D290" s="13"/>
      <c r="E290" s="19"/>
      <c r="F290" s="49"/>
      <c r="G290" s="219" t="s">
        <v>308</v>
      </c>
      <c r="H290" s="30"/>
      <c r="I290" s="31" t="s">
        <v>3</v>
      </c>
      <c r="J290" s="31" t="s">
        <v>151</v>
      </c>
      <c r="K290" s="30"/>
      <c r="L290" s="51" t="s">
        <v>0</v>
      </c>
      <c r="M290" s="31" t="s">
        <v>151</v>
      </c>
      <c r="N290" s="32"/>
      <c r="O290" s="51" t="s">
        <v>86</v>
      </c>
      <c r="P290" s="22" t="s">
        <v>38</v>
      </c>
      <c r="Q290" s="203" t="e">
        <f>ROUNDUP(H290*K290*#REF!/1000,0)*1000</f>
        <v>#REF!</v>
      </c>
    </row>
    <row r="291" spans="1:17" ht="18" customHeight="1" hidden="1">
      <c r="A291" s="13"/>
      <c r="B291" s="19"/>
      <c r="C291" s="43"/>
      <c r="D291" s="13"/>
      <c r="E291" s="19"/>
      <c r="F291" s="49"/>
      <c r="G291" s="219" t="s">
        <v>309</v>
      </c>
      <c r="H291" s="27"/>
      <c r="I291" s="27"/>
      <c r="J291" s="27"/>
      <c r="K291" s="27"/>
      <c r="L291" s="34"/>
      <c r="M291" s="27"/>
      <c r="N291" s="27"/>
      <c r="O291" s="34"/>
      <c r="P291" s="27"/>
      <c r="Q291" s="203">
        <f>SUM(Q292:Q295)</f>
        <v>0</v>
      </c>
    </row>
    <row r="292" spans="1:17" ht="18" customHeight="1" hidden="1">
      <c r="A292" s="13"/>
      <c r="B292" s="19"/>
      <c r="C292" s="43"/>
      <c r="D292" s="13"/>
      <c r="E292" s="19"/>
      <c r="F292" s="49"/>
      <c r="G292" s="219" t="s">
        <v>310</v>
      </c>
      <c r="H292" s="27"/>
      <c r="I292" s="31" t="s">
        <v>3</v>
      </c>
      <c r="J292" s="31" t="s">
        <v>246</v>
      </c>
      <c r="K292" s="220"/>
      <c r="L292" s="45" t="s">
        <v>311</v>
      </c>
      <c r="M292" s="27"/>
      <c r="N292" s="27"/>
      <c r="O292" s="34"/>
      <c r="P292" s="22" t="s">
        <v>38</v>
      </c>
      <c r="Q292" s="203">
        <f>ROUNDUP(H292*K292/100,-3)</f>
        <v>0</v>
      </c>
    </row>
    <row r="293" spans="1:17" ht="18" customHeight="1" hidden="1">
      <c r="A293" s="13"/>
      <c r="B293" s="19"/>
      <c r="C293" s="43"/>
      <c r="D293" s="13"/>
      <c r="E293" s="19"/>
      <c r="F293" s="49"/>
      <c r="G293" s="45" t="s">
        <v>312</v>
      </c>
      <c r="H293" s="27"/>
      <c r="I293" s="31" t="s">
        <v>3</v>
      </c>
      <c r="J293" s="31" t="s">
        <v>246</v>
      </c>
      <c r="K293" s="220"/>
      <c r="L293" s="45" t="s">
        <v>311</v>
      </c>
      <c r="M293" s="27"/>
      <c r="N293" s="27"/>
      <c r="O293" s="34"/>
      <c r="P293" s="22" t="s">
        <v>38</v>
      </c>
      <c r="Q293" s="203">
        <f>ROUNDUP(H293*K293/100,-3)</f>
        <v>0</v>
      </c>
    </row>
    <row r="294" spans="1:17" ht="18" customHeight="1" hidden="1">
      <c r="A294" s="13"/>
      <c r="B294" s="19"/>
      <c r="C294" s="43"/>
      <c r="D294" s="13"/>
      <c r="E294" s="19"/>
      <c r="F294" s="49"/>
      <c r="G294" s="45" t="s">
        <v>313</v>
      </c>
      <c r="H294" s="27"/>
      <c r="I294" s="31" t="s">
        <v>3</v>
      </c>
      <c r="J294" s="31" t="s">
        <v>246</v>
      </c>
      <c r="K294" s="221"/>
      <c r="L294" s="45" t="s">
        <v>311</v>
      </c>
      <c r="M294" s="27"/>
      <c r="N294" s="27"/>
      <c r="O294" s="34"/>
      <c r="P294" s="22" t="s">
        <v>38</v>
      </c>
      <c r="Q294" s="203">
        <f>ROUNDUP(H294*K294/100,-3)</f>
        <v>0</v>
      </c>
    </row>
    <row r="295" spans="1:17" ht="18" customHeight="1" hidden="1">
      <c r="A295" s="13"/>
      <c r="B295" s="19"/>
      <c r="C295" s="43"/>
      <c r="D295" s="13"/>
      <c r="E295" s="19"/>
      <c r="F295" s="49"/>
      <c r="G295" s="45" t="s">
        <v>314</v>
      </c>
      <c r="H295" s="27"/>
      <c r="I295" s="31" t="s">
        <v>3</v>
      </c>
      <c r="J295" s="31" t="s">
        <v>246</v>
      </c>
      <c r="K295" s="220"/>
      <c r="L295" s="45" t="s">
        <v>311</v>
      </c>
      <c r="M295" s="45"/>
      <c r="N295" s="45"/>
      <c r="O295" s="218"/>
      <c r="P295" s="22" t="s">
        <v>38</v>
      </c>
      <c r="Q295" s="203">
        <f>ROUNDUP(H295*K295/100,-3)</f>
        <v>0</v>
      </c>
    </row>
    <row r="296" spans="1:17" ht="18" customHeight="1" hidden="1">
      <c r="A296" s="13"/>
      <c r="B296" s="19"/>
      <c r="C296" s="43"/>
      <c r="D296" s="13"/>
      <c r="E296" s="19"/>
      <c r="F296" s="49"/>
      <c r="G296" s="219" t="s">
        <v>315</v>
      </c>
      <c r="H296" s="27"/>
      <c r="I296" s="31" t="s">
        <v>3</v>
      </c>
      <c r="J296" s="222" t="s">
        <v>316</v>
      </c>
      <c r="K296" s="30"/>
      <c r="L296" s="51" t="s">
        <v>1</v>
      </c>
      <c r="M296" s="27"/>
      <c r="N296" s="27"/>
      <c r="O296" s="34"/>
      <c r="P296" s="22" t="s">
        <v>38</v>
      </c>
      <c r="Q296" s="203" t="e">
        <f>ROUNDUP(H296/K296/1000,0)*1000</f>
        <v>#DIV/0!</v>
      </c>
    </row>
    <row r="297" spans="1:17" ht="18" customHeight="1" hidden="1">
      <c r="A297" s="13"/>
      <c r="B297" s="19"/>
      <c r="C297" s="43"/>
      <c r="D297" s="13"/>
      <c r="E297" s="19"/>
      <c r="F297" s="49"/>
      <c r="G297" s="46" t="s">
        <v>318</v>
      </c>
      <c r="H297" s="217" t="e">
        <f>Q297/SUM('[1]세입'!D33*1000)</f>
        <v>#REF!</v>
      </c>
      <c r="I297" s="45"/>
      <c r="J297" s="45"/>
      <c r="K297" s="45"/>
      <c r="L297" s="218"/>
      <c r="M297" s="45"/>
      <c r="N297" s="45"/>
      <c r="O297" s="218"/>
      <c r="P297" s="45"/>
      <c r="Q297" s="62" t="e">
        <f>SUM(Q298:Q300,Q305)</f>
        <v>#REF!</v>
      </c>
    </row>
    <row r="298" spans="1:17" ht="18" customHeight="1" hidden="1">
      <c r="A298" s="13"/>
      <c r="B298" s="19"/>
      <c r="C298" s="43"/>
      <c r="D298" s="13"/>
      <c r="E298" s="19"/>
      <c r="F298" s="49"/>
      <c r="G298" s="219" t="s">
        <v>307</v>
      </c>
      <c r="H298" s="30"/>
      <c r="I298" s="31" t="s">
        <v>3</v>
      </c>
      <c r="J298" s="31" t="s">
        <v>151</v>
      </c>
      <c r="K298" s="30"/>
      <c r="L298" s="51" t="s">
        <v>0</v>
      </c>
      <c r="M298" s="31" t="s">
        <v>269</v>
      </c>
      <c r="N298" s="32" t="s">
        <v>53</v>
      </c>
      <c r="O298" s="51" t="s">
        <v>269</v>
      </c>
      <c r="P298" s="22" t="s">
        <v>38</v>
      </c>
      <c r="Q298" s="203">
        <f>ROUNDUP(H298*K298/1000,0)*1000</f>
        <v>0</v>
      </c>
    </row>
    <row r="299" spans="1:17" ht="18" customHeight="1" hidden="1">
      <c r="A299" s="13"/>
      <c r="B299" s="19"/>
      <c r="C299" s="43"/>
      <c r="D299" s="13"/>
      <c r="E299" s="19"/>
      <c r="F299" s="49"/>
      <c r="G299" s="219" t="s">
        <v>308</v>
      </c>
      <c r="H299" s="30"/>
      <c r="I299" s="31" t="s">
        <v>3</v>
      </c>
      <c r="J299" s="31" t="s">
        <v>151</v>
      </c>
      <c r="K299" s="30"/>
      <c r="L299" s="51" t="s">
        <v>0</v>
      </c>
      <c r="M299" s="31" t="s">
        <v>151</v>
      </c>
      <c r="N299" s="32"/>
      <c r="O299" s="51" t="s">
        <v>86</v>
      </c>
      <c r="P299" s="22" t="s">
        <v>38</v>
      </c>
      <c r="Q299" s="203" t="e">
        <f>ROUNDUP(H299*K299*#REF!/1000,0)*1000</f>
        <v>#REF!</v>
      </c>
    </row>
    <row r="300" spans="1:17" ht="18" customHeight="1" hidden="1">
      <c r="A300" s="13"/>
      <c r="B300" s="19"/>
      <c r="C300" s="43"/>
      <c r="D300" s="13"/>
      <c r="E300" s="19"/>
      <c r="F300" s="49"/>
      <c r="G300" s="219" t="s">
        <v>309</v>
      </c>
      <c r="H300" s="27"/>
      <c r="I300" s="27"/>
      <c r="J300" s="27"/>
      <c r="K300" s="27"/>
      <c r="L300" s="34"/>
      <c r="M300" s="27"/>
      <c r="N300" s="27"/>
      <c r="O300" s="34"/>
      <c r="P300" s="27"/>
      <c r="Q300" s="203">
        <f>SUM(Q301:Q304)</f>
        <v>0</v>
      </c>
    </row>
    <row r="301" spans="1:17" ht="18" customHeight="1" hidden="1">
      <c r="A301" s="13"/>
      <c r="B301" s="19"/>
      <c r="C301" s="43"/>
      <c r="D301" s="13"/>
      <c r="E301" s="19"/>
      <c r="F301" s="49"/>
      <c r="G301" s="219" t="s">
        <v>310</v>
      </c>
      <c r="H301" s="27"/>
      <c r="I301" s="31" t="s">
        <v>3</v>
      </c>
      <c r="J301" s="31" t="s">
        <v>246</v>
      </c>
      <c r="K301" s="220"/>
      <c r="L301" s="45" t="s">
        <v>311</v>
      </c>
      <c r="M301" s="27"/>
      <c r="N301" s="27"/>
      <c r="O301" s="34"/>
      <c r="P301" s="22" t="s">
        <v>38</v>
      </c>
      <c r="Q301" s="203">
        <f>ROUNDUP(H301*K301/100,-3)</f>
        <v>0</v>
      </c>
    </row>
    <row r="302" spans="1:17" ht="18" customHeight="1" hidden="1">
      <c r="A302" s="13"/>
      <c r="B302" s="19"/>
      <c r="C302" s="43"/>
      <c r="D302" s="13"/>
      <c r="E302" s="19"/>
      <c r="F302" s="49"/>
      <c r="G302" s="45" t="s">
        <v>312</v>
      </c>
      <c r="H302" s="27"/>
      <c r="I302" s="31" t="s">
        <v>3</v>
      </c>
      <c r="J302" s="31" t="s">
        <v>246</v>
      </c>
      <c r="K302" s="220"/>
      <c r="L302" s="45" t="s">
        <v>311</v>
      </c>
      <c r="M302" s="27"/>
      <c r="N302" s="27"/>
      <c r="O302" s="34"/>
      <c r="P302" s="22" t="s">
        <v>38</v>
      </c>
      <c r="Q302" s="203">
        <f>ROUNDUP(H302*K302/100,-3)</f>
        <v>0</v>
      </c>
    </row>
    <row r="303" spans="1:17" ht="18" customHeight="1" hidden="1">
      <c r="A303" s="13"/>
      <c r="B303" s="19"/>
      <c r="C303" s="43"/>
      <c r="D303" s="13"/>
      <c r="E303" s="19"/>
      <c r="F303" s="49"/>
      <c r="G303" s="45" t="s">
        <v>313</v>
      </c>
      <c r="H303" s="27"/>
      <c r="I303" s="31" t="s">
        <v>3</v>
      </c>
      <c r="J303" s="31" t="s">
        <v>246</v>
      </c>
      <c r="K303" s="221"/>
      <c r="L303" s="45" t="s">
        <v>311</v>
      </c>
      <c r="M303" s="27"/>
      <c r="N303" s="27"/>
      <c r="O303" s="34"/>
      <c r="P303" s="22" t="s">
        <v>38</v>
      </c>
      <c r="Q303" s="203">
        <f>ROUNDUP(H303*K303/100,-3)</f>
        <v>0</v>
      </c>
    </row>
    <row r="304" spans="1:17" ht="18" customHeight="1" hidden="1">
      <c r="A304" s="13"/>
      <c r="B304" s="19"/>
      <c r="C304" s="43"/>
      <c r="D304" s="13"/>
      <c r="E304" s="19"/>
      <c r="F304" s="49"/>
      <c r="G304" s="45" t="s">
        <v>314</v>
      </c>
      <c r="H304" s="27"/>
      <c r="I304" s="31" t="s">
        <v>3</v>
      </c>
      <c r="J304" s="31" t="s">
        <v>246</v>
      </c>
      <c r="K304" s="220"/>
      <c r="L304" s="45" t="s">
        <v>311</v>
      </c>
      <c r="M304" s="45"/>
      <c r="N304" s="45"/>
      <c r="O304" s="218"/>
      <c r="P304" s="22" t="s">
        <v>38</v>
      </c>
      <c r="Q304" s="203">
        <f>ROUNDUP(H304*K304/100,-3)</f>
        <v>0</v>
      </c>
    </row>
    <row r="305" spans="1:17" ht="18" customHeight="1" hidden="1">
      <c r="A305" s="13"/>
      <c r="B305" s="19"/>
      <c r="C305" s="43"/>
      <c r="D305" s="13"/>
      <c r="E305" s="19"/>
      <c r="F305" s="49"/>
      <c r="G305" s="219" t="s">
        <v>315</v>
      </c>
      <c r="H305" s="27"/>
      <c r="I305" s="31" t="s">
        <v>3</v>
      </c>
      <c r="J305" s="222" t="s">
        <v>316</v>
      </c>
      <c r="K305" s="30"/>
      <c r="L305" s="51" t="s">
        <v>1</v>
      </c>
      <c r="M305" s="27"/>
      <c r="N305" s="27"/>
      <c r="O305" s="34"/>
      <c r="P305" s="22" t="s">
        <v>38</v>
      </c>
      <c r="Q305" s="203" t="e">
        <f>ROUNDUP(H305/K305/1000,0)*1000</f>
        <v>#DIV/0!</v>
      </c>
    </row>
    <row r="306" spans="1:17" ht="18" customHeight="1" hidden="1">
      <c r="A306" s="13"/>
      <c r="B306" s="19"/>
      <c r="C306" s="43"/>
      <c r="D306" s="13"/>
      <c r="E306" s="19"/>
      <c r="F306" s="49"/>
      <c r="G306" s="223"/>
      <c r="H306" s="45"/>
      <c r="I306" s="45"/>
      <c r="J306" s="45"/>
      <c r="K306" s="45"/>
      <c r="L306" s="45"/>
      <c r="M306" s="45"/>
      <c r="N306" s="224"/>
      <c r="O306" s="45"/>
      <c r="P306" s="45"/>
      <c r="Q306" s="203"/>
    </row>
    <row r="307" spans="1:17" ht="18" customHeight="1">
      <c r="A307" s="13"/>
      <c r="B307" s="19"/>
      <c r="C307" s="43"/>
      <c r="D307" s="13"/>
      <c r="E307" s="19"/>
      <c r="F307" s="49"/>
      <c r="G307" s="46" t="s">
        <v>354</v>
      </c>
      <c r="H307" s="45">
        <v>1448040</v>
      </c>
      <c r="I307" s="45" t="s">
        <v>39</v>
      </c>
      <c r="J307" s="31" t="s">
        <v>246</v>
      </c>
      <c r="K307" s="45">
        <v>4</v>
      </c>
      <c r="L307" s="225" t="s">
        <v>52</v>
      </c>
      <c r="M307" s="31" t="s">
        <v>246</v>
      </c>
      <c r="N307" s="45">
        <v>12</v>
      </c>
      <c r="O307" s="218" t="s">
        <v>51</v>
      </c>
      <c r="P307" s="45" t="s">
        <v>38</v>
      </c>
      <c r="Q307" s="63">
        <f>ROUNDUP(H307*K307*N307,-3)</f>
        <v>69506000</v>
      </c>
    </row>
    <row r="308" spans="1:17" ht="18" customHeight="1">
      <c r="A308" s="13"/>
      <c r="B308" s="19"/>
      <c r="C308" s="43"/>
      <c r="D308" s="13"/>
      <c r="E308" s="19"/>
      <c r="F308" s="49"/>
      <c r="G308" s="46" t="s">
        <v>489</v>
      </c>
      <c r="H308" s="45">
        <v>630000</v>
      </c>
      <c r="I308" s="45" t="s">
        <v>39</v>
      </c>
      <c r="J308" s="31" t="s">
        <v>246</v>
      </c>
      <c r="K308" s="45">
        <v>3</v>
      </c>
      <c r="L308" s="225" t="s">
        <v>353</v>
      </c>
      <c r="M308" s="31" t="s">
        <v>246</v>
      </c>
      <c r="N308" s="45">
        <v>12</v>
      </c>
      <c r="O308" s="218" t="s">
        <v>51</v>
      </c>
      <c r="P308" s="45" t="s">
        <v>38</v>
      </c>
      <c r="Q308" s="63">
        <f>H308*K308*N308</f>
        <v>22680000</v>
      </c>
    </row>
    <row r="309" spans="1:17" ht="18" customHeight="1">
      <c r="A309" s="13"/>
      <c r="B309" s="19"/>
      <c r="C309" s="43"/>
      <c r="D309" s="13"/>
      <c r="E309" s="19"/>
      <c r="F309" s="49"/>
      <c r="G309" s="46" t="s">
        <v>355</v>
      </c>
      <c r="H309" s="45">
        <v>400000</v>
      </c>
      <c r="I309" s="45" t="s">
        <v>39</v>
      </c>
      <c r="J309" s="31" t="s">
        <v>246</v>
      </c>
      <c r="K309" s="45">
        <v>12</v>
      </c>
      <c r="L309" s="225" t="s">
        <v>356</v>
      </c>
      <c r="M309" s="31"/>
      <c r="N309" s="45"/>
      <c r="O309" s="218"/>
      <c r="P309" s="45" t="s">
        <v>38</v>
      </c>
      <c r="Q309" s="203">
        <f>H309*K309</f>
        <v>4800000</v>
      </c>
    </row>
    <row r="310" spans="1:17" ht="18" customHeight="1">
      <c r="A310" s="13"/>
      <c r="B310" s="19"/>
      <c r="C310" s="43"/>
      <c r="D310" s="13"/>
      <c r="E310" s="19"/>
      <c r="F310" s="49"/>
      <c r="G310" s="46" t="s">
        <v>490</v>
      </c>
      <c r="H310" s="45">
        <v>7810000</v>
      </c>
      <c r="I310" s="45" t="s">
        <v>39</v>
      </c>
      <c r="J310" s="31" t="s">
        <v>246</v>
      </c>
      <c r="K310" s="45">
        <v>1</v>
      </c>
      <c r="L310" s="225" t="s">
        <v>1</v>
      </c>
      <c r="M310" s="31"/>
      <c r="N310" s="45"/>
      <c r="O310" s="218"/>
      <c r="P310" s="45" t="s">
        <v>38</v>
      </c>
      <c r="Q310" s="203">
        <f>H310*K310</f>
        <v>7810000</v>
      </c>
    </row>
    <row r="311" spans="1:17" ht="18" customHeight="1">
      <c r="A311" s="13"/>
      <c r="B311" s="19"/>
      <c r="C311" s="43"/>
      <c r="D311" s="13"/>
      <c r="E311" s="19"/>
      <c r="F311" s="49"/>
      <c r="G311" s="46" t="s">
        <v>457</v>
      </c>
      <c r="H311" s="45">
        <v>107000</v>
      </c>
      <c r="I311" s="45" t="s">
        <v>39</v>
      </c>
      <c r="J311" s="31" t="s">
        <v>246</v>
      </c>
      <c r="K311" s="45">
        <v>12</v>
      </c>
      <c r="L311" s="225" t="s">
        <v>491</v>
      </c>
      <c r="M311" s="31"/>
      <c r="N311" s="45"/>
      <c r="O311" s="218"/>
      <c r="P311" s="45" t="s">
        <v>38</v>
      </c>
      <c r="Q311" s="203">
        <f>H311*K311</f>
        <v>1284000</v>
      </c>
    </row>
    <row r="312" spans="1:17" ht="18" customHeight="1">
      <c r="A312" s="13"/>
      <c r="B312" s="19"/>
      <c r="C312" s="43"/>
      <c r="D312" s="13"/>
      <c r="E312" s="19"/>
      <c r="F312" s="49"/>
      <c r="G312" s="46" t="s">
        <v>319</v>
      </c>
      <c r="H312" s="45">
        <v>1720000</v>
      </c>
      <c r="I312" s="45" t="s">
        <v>39</v>
      </c>
      <c r="J312" s="31" t="s">
        <v>246</v>
      </c>
      <c r="K312" s="45">
        <v>12</v>
      </c>
      <c r="L312" s="225" t="s">
        <v>352</v>
      </c>
      <c r="M312" s="31"/>
      <c r="N312" s="45"/>
      <c r="O312" s="218"/>
      <c r="P312" s="45" t="s">
        <v>38</v>
      </c>
      <c r="Q312" s="63">
        <f>H312*K312</f>
        <v>20640000</v>
      </c>
    </row>
    <row r="313" spans="1:17" ht="18" customHeight="1" hidden="1">
      <c r="A313" s="13"/>
      <c r="B313" s="19"/>
      <c r="C313" s="43"/>
      <c r="D313" s="13"/>
      <c r="E313" s="19"/>
      <c r="F313" s="49"/>
      <c r="G313" s="223"/>
      <c r="H313" s="45"/>
      <c r="I313" s="45"/>
      <c r="J313" s="31"/>
      <c r="K313" s="45"/>
      <c r="L313" s="218"/>
      <c r="M313" s="31"/>
      <c r="N313" s="45"/>
      <c r="O313" s="218"/>
      <c r="P313" s="45"/>
      <c r="Q313" s="203"/>
    </row>
    <row r="314" spans="1:17" ht="18" customHeight="1" hidden="1">
      <c r="A314" s="13"/>
      <c r="B314" s="19"/>
      <c r="C314" s="43"/>
      <c r="D314" s="13"/>
      <c r="E314" s="19"/>
      <c r="F314" s="49"/>
      <c r="G314" s="46" t="s">
        <v>320</v>
      </c>
      <c r="H314" s="217" t="e">
        <f>Q314/SUM('[1]세입'!$D$37*1000)</f>
        <v>#REF!</v>
      </c>
      <c r="I314" s="45"/>
      <c r="J314" s="45"/>
      <c r="K314" s="45"/>
      <c r="L314" s="218"/>
      <c r="M314" s="45"/>
      <c r="N314" s="45"/>
      <c r="O314" s="218"/>
      <c r="P314" s="45"/>
      <c r="Q314" s="62">
        <f>SUM(Q315)</f>
        <v>0</v>
      </c>
    </row>
    <row r="315" spans="1:17" ht="18" customHeight="1" hidden="1">
      <c r="A315" s="13"/>
      <c r="B315" s="19"/>
      <c r="C315" s="43"/>
      <c r="D315" s="13"/>
      <c r="E315" s="19"/>
      <c r="F315" s="49"/>
      <c r="G315" s="223" t="s">
        <v>321</v>
      </c>
      <c r="H315" s="45"/>
      <c r="I315" s="45" t="s">
        <v>39</v>
      </c>
      <c r="J315" s="31" t="s">
        <v>246</v>
      </c>
      <c r="K315" s="45"/>
      <c r="L315" s="45" t="s">
        <v>322</v>
      </c>
      <c r="M315" s="45"/>
      <c r="N315" s="45"/>
      <c r="O315" s="45"/>
      <c r="P315" s="45" t="s">
        <v>38</v>
      </c>
      <c r="Q315" s="203">
        <f>ROUNDUP(H315*K315,-3)</f>
        <v>0</v>
      </c>
    </row>
    <row r="316" spans="1:17" ht="18" customHeight="1" hidden="1">
      <c r="A316" s="13"/>
      <c r="B316" s="19"/>
      <c r="C316" s="43"/>
      <c r="D316" s="13"/>
      <c r="E316" s="19"/>
      <c r="F316" s="49"/>
      <c r="G316" s="223"/>
      <c r="H316" s="45"/>
      <c r="I316" s="45"/>
      <c r="J316" s="31"/>
      <c r="K316" s="45"/>
      <c r="L316" s="45"/>
      <c r="M316" s="45"/>
      <c r="N316" s="45"/>
      <c r="O316" s="45"/>
      <c r="P316" s="45"/>
      <c r="Q316" s="203"/>
    </row>
    <row r="317" spans="1:17" ht="18" customHeight="1" hidden="1">
      <c r="A317" s="13"/>
      <c r="B317" s="19"/>
      <c r="C317" s="43"/>
      <c r="D317" s="13"/>
      <c r="E317" s="19"/>
      <c r="F317" s="49"/>
      <c r="G317" s="46" t="s">
        <v>323</v>
      </c>
      <c r="H317" s="217" t="e">
        <f>Q317/SUM('[1]세입'!$D$37*1000)</f>
        <v>#REF!</v>
      </c>
      <c r="I317" s="45"/>
      <c r="J317" s="45"/>
      <c r="K317" s="45"/>
      <c r="L317" s="218"/>
      <c r="M317" s="45"/>
      <c r="N317" s="45"/>
      <c r="O317" s="218"/>
      <c r="P317" s="45"/>
      <c r="Q317" s="62">
        <f>SUM(Q318:Q324)</f>
        <v>0</v>
      </c>
    </row>
    <row r="318" spans="1:17" ht="18" customHeight="1" hidden="1">
      <c r="A318" s="13"/>
      <c r="B318" s="19"/>
      <c r="C318" s="43"/>
      <c r="D318" s="13"/>
      <c r="E318" s="19"/>
      <c r="F318" s="49"/>
      <c r="G318" s="223" t="s">
        <v>324</v>
      </c>
      <c r="H318" s="45"/>
      <c r="I318" s="45" t="s">
        <v>39</v>
      </c>
      <c r="J318" s="31" t="s">
        <v>246</v>
      </c>
      <c r="K318" s="45">
        <v>12</v>
      </c>
      <c r="L318" s="45" t="s">
        <v>51</v>
      </c>
      <c r="M318" s="45"/>
      <c r="N318" s="220"/>
      <c r="O318" s="45"/>
      <c r="P318" s="45" t="s">
        <v>38</v>
      </c>
      <c r="Q318" s="203">
        <f aca="true" t="shared" si="5" ref="Q318:Q324">H318*K318</f>
        <v>0</v>
      </c>
    </row>
    <row r="319" spans="1:17" ht="18" customHeight="1" hidden="1">
      <c r="A319" s="13"/>
      <c r="B319" s="19"/>
      <c r="C319" s="43"/>
      <c r="D319" s="13"/>
      <c r="E319" s="19"/>
      <c r="F319" s="49"/>
      <c r="G319" s="223" t="s">
        <v>325</v>
      </c>
      <c r="H319" s="45"/>
      <c r="I319" s="45" t="s">
        <v>39</v>
      </c>
      <c r="J319" s="31" t="s">
        <v>246</v>
      </c>
      <c r="K319" s="45">
        <v>5</v>
      </c>
      <c r="L319" s="45" t="s">
        <v>50</v>
      </c>
      <c r="M319" s="45"/>
      <c r="N319" s="45"/>
      <c r="O319" s="45"/>
      <c r="P319" s="45" t="s">
        <v>38</v>
      </c>
      <c r="Q319" s="203">
        <f t="shared" si="5"/>
        <v>0</v>
      </c>
    </row>
    <row r="320" spans="1:17" ht="18" customHeight="1" hidden="1">
      <c r="A320" s="13"/>
      <c r="B320" s="19"/>
      <c r="C320" s="43"/>
      <c r="D320" s="13"/>
      <c r="E320" s="19"/>
      <c r="F320" s="49"/>
      <c r="G320" s="223" t="s">
        <v>326</v>
      </c>
      <c r="H320" s="45"/>
      <c r="I320" s="45" t="s">
        <v>39</v>
      </c>
      <c r="J320" s="31" t="s">
        <v>246</v>
      </c>
      <c r="K320" s="45">
        <v>2</v>
      </c>
      <c r="L320" s="45" t="s">
        <v>50</v>
      </c>
      <c r="M320" s="45"/>
      <c r="N320" s="45"/>
      <c r="O320" s="45"/>
      <c r="P320" s="45" t="s">
        <v>38</v>
      </c>
      <c r="Q320" s="203">
        <f t="shared" si="5"/>
        <v>0</v>
      </c>
    </row>
    <row r="321" spans="1:17" ht="18" customHeight="1" hidden="1">
      <c r="A321" s="13"/>
      <c r="B321" s="19"/>
      <c r="C321" s="43"/>
      <c r="D321" s="13"/>
      <c r="E321" s="19"/>
      <c r="F321" s="49"/>
      <c r="G321" s="223" t="s">
        <v>327</v>
      </c>
      <c r="H321" s="45"/>
      <c r="I321" s="45" t="s">
        <v>39</v>
      </c>
      <c r="J321" s="31" t="s">
        <v>246</v>
      </c>
      <c r="K321" s="45">
        <v>5</v>
      </c>
      <c r="L321" s="45" t="s">
        <v>50</v>
      </c>
      <c r="M321" s="31" t="s">
        <v>53</v>
      </c>
      <c r="N321" s="45" t="s">
        <v>53</v>
      </c>
      <c r="O321" s="45" t="s">
        <v>53</v>
      </c>
      <c r="P321" s="45" t="s">
        <v>38</v>
      </c>
      <c r="Q321" s="203">
        <f t="shared" si="5"/>
        <v>0</v>
      </c>
    </row>
    <row r="322" spans="1:17" ht="18" customHeight="1" hidden="1">
      <c r="A322" s="13"/>
      <c r="B322" s="19"/>
      <c r="C322" s="43"/>
      <c r="D322" s="13"/>
      <c r="E322" s="19"/>
      <c r="F322" s="49"/>
      <c r="G322" s="223" t="s">
        <v>328</v>
      </c>
      <c r="H322" s="45"/>
      <c r="I322" s="45" t="s">
        <v>39</v>
      </c>
      <c r="J322" s="31" t="s">
        <v>246</v>
      </c>
      <c r="K322" s="45">
        <v>4</v>
      </c>
      <c r="L322" s="45" t="s">
        <v>50</v>
      </c>
      <c r="M322" s="45"/>
      <c r="N322" s="220"/>
      <c r="O322" s="45"/>
      <c r="P322" s="45" t="s">
        <v>38</v>
      </c>
      <c r="Q322" s="203">
        <f t="shared" si="5"/>
        <v>0</v>
      </c>
    </row>
    <row r="323" spans="1:17" ht="18" customHeight="1" hidden="1">
      <c r="A323" s="13"/>
      <c r="B323" s="19"/>
      <c r="C323" s="43"/>
      <c r="D323" s="13"/>
      <c r="E323" s="19"/>
      <c r="F323" s="49"/>
      <c r="G323" s="223" t="s">
        <v>329</v>
      </c>
      <c r="H323" s="45"/>
      <c r="I323" s="45" t="s">
        <v>39</v>
      </c>
      <c r="J323" s="31" t="s">
        <v>246</v>
      </c>
      <c r="K323" s="226">
        <v>1</v>
      </c>
      <c r="L323" s="45" t="s">
        <v>50</v>
      </c>
      <c r="M323" s="45"/>
      <c r="N323" s="45"/>
      <c r="O323" s="45"/>
      <c r="P323" s="45" t="s">
        <v>38</v>
      </c>
      <c r="Q323" s="203">
        <f t="shared" si="5"/>
        <v>0</v>
      </c>
    </row>
    <row r="324" spans="1:17" ht="18" customHeight="1" hidden="1">
      <c r="A324" s="13"/>
      <c r="B324" s="19"/>
      <c r="C324" s="43"/>
      <c r="D324" s="13"/>
      <c r="E324" s="19"/>
      <c r="F324" s="49"/>
      <c r="G324" s="223" t="s">
        <v>330</v>
      </c>
      <c r="H324" s="45"/>
      <c r="I324" s="45" t="s">
        <v>39</v>
      </c>
      <c r="J324" s="31" t="s">
        <v>246</v>
      </c>
      <c r="K324" s="226">
        <v>1</v>
      </c>
      <c r="L324" s="45" t="s">
        <v>50</v>
      </c>
      <c r="M324" s="45"/>
      <c r="N324" s="45"/>
      <c r="O324" s="45"/>
      <c r="P324" s="45" t="s">
        <v>38</v>
      </c>
      <c r="Q324" s="203">
        <f t="shared" si="5"/>
        <v>0</v>
      </c>
    </row>
    <row r="325" spans="1:18" ht="18" customHeight="1">
      <c r="A325" s="13"/>
      <c r="B325" s="19"/>
      <c r="C325" s="43"/>
      <c r="D325" s="13"/>
      <c r="E325" s="19"/>
      <c r="F325" s="49"/>
      <c r="G325" s="212"/>
      <c r="H325" s="213" t="s">
        <v>40</v>
      </c>
      <c r="I325" s="213"/>
      <c r="J325" s="213"/>
      <c r="K325" s="227"/>
      <c r="L325" s="213"/>
      <c r="M325" s="213"/>
      <c r="N325" s="213"/>
      <c r="O325" s="213"/>
      <c r="P325" s="213"/>
      <c r="Q325" s="215">
        <f>SUM(Q307:Q312)</f>
        <v>126720000</v>
      </c>
      <c r="R325" s="28"/>
    </row>
    <row r="326" spans="1:17" ht="18" customHeight="1">
      <c r="A326" s="316" t="s">
        <v>43</v>
      </c>
      <c r="B326" s="317"/>
      <c r="C326" s="352"/>
      <c r="D326" s="228">
        <f>D5+D135+D248+D255+D259</f>
        <v>1414293</v>
      </c>
      <c r="E326" s="229">
        <f>E5+E135+E248+E255+E259</f>
        <v>1409816</v>
      </c>
      <c r="F326" s="230">
        <f>F5+F135+F248+F255+F259</f>
        <v>4477</v>
      </c>
      <c r="G326" s="180"/>
      <c r="H326" s="178"/>
      <c r="I326" s="178"/>
      <c r="J326" s="178"/>
      <c r="K326" s="178"/>
      <c r="L326" s="181"/>
      <c r="M326" s="178"/>
      <c r="N326" s="178"/>
      <c r="O326" s="181"/>
      <c r="P326" s="178"/>
      <c r="Q326" s="179"/>
    </row>
    <row r="327" spans="7:17" ht="18" customHeight="1">
      <c r="G327" s="118"/>
      <c r="H327" s="119"/>
      <c r="I327" s="119"/>
      <c r="J327" s="119"/>
      <c r="K327" s="119"/>
      <c r="L327" s="120"/>
      <c r="M327" s="119"/>
      <c r="N327" s="119"/>
      <c r="O327" s="120"/>
      <c r="P327" s="119"/>
      <c r="Q327" s="118"/>
    </row>
    <row r="328" spans="7:17" ht="18" customHeight="1">
      <c r="G328" s="118"/>
      <c r="H328" s="119"/>
      <c r="I328" s="119"/>
      <c r="J328" s="119"/>
      <c r="K328" s="119"/>
      <c r="L328" s="120"/>
      <c r="M328" s="119"/>
      <c r="N328" s="119"/>
      <c r="O328" s="120"/>
      <c r="P328" s="119"/>
      <c r="Q328" s="118"/>
    </row>
    <row r="329" spans="7:17" ht="18" customHeight="1">
      <c r="G329" s="118"/>
      <c r="H329" s="119"/>
      <c r="I329" s="119"/>
      <c r="J329" s="119"/>
      <c r="K329" s="119"/>
      <c r="L329" s="120"/>
      <c r="M329" s="119"/>
      <c r="N329" s="119"/>
      <c r="O329" s="120"/>
      <c r="P329" s="119"/>
      <c r="Q329" s="118"/>
    </row>
    <row r="330" spans="7:17" ht="18" customHeight="1">
      <c r="G330" s="118"/>
      <c r="H330" s="119"/>
      <c r="I330" s="119"/>
      <c r="J330" s="119"/>
      <c r="K330" s="119"/>
      <c r="L330" s="120"/>
      <c r="M330" s="119"/>
      <c r="N330" s="119"/>
      <c r="O330" s="120"/>
      <c r="P330" s="119"/>
      <c r="Q330" s="118"/>
    </row>
    <row r="331" spans="7:17" ht="18" customHeight="1">
      <c r="G331" s="118"/>
      <c r="H331" s="119"/>
      <c r="I331" s="119"/>
      <c r="J331" s="119"/>
      <c r="K331" s="119"/>
      <c r="L331" s="120"/>
      <c r="M331" s="119"/>
      <c r="N331" s="119"/>
      <c r="O331" s="120"/>
      <c r="P331" s="119"/>
      <c r="Q331" s="118"/>
    </row>
    <row r="332" spans="7:17" ht="18" customHeight="1">
      <c r="G332" s="118"/>
      <c r="H332" s="119"/>
      <c r="I332" s="119"/>
      <c r="J332" s="119"/>
      <c r="K332" s="119"/>
      <c r="L332" s="120"/>
      <c r="M332" s="119"/>
      <c r="N332" s="119"/>
      <c r="O332" s="120"/>
      <c r="P332" s="119"/>
      <c r="Q332" s="118"/>
    </row>
    <row r="333" spans="7:17" ht="18" customHeight="1">
      <c r="G333" s="118"/>
      <c r="H333" s="119"/>
      <c r="I333" s="119"/>
      <c r="J333" s="119"/>
      <c r="K333" s="119"/>
      <c r="L333" s="120"/>
      <c r="M333" s="119"/>
      <c r="N333" s="119"/>
      <c r="O333" s="120"/>
      <c r="P333" s="119"/>
      <c r="Q333" s="118"/>
    </row>
    <row r="334" spans="7:17" ht="18" customHeight="1">
      <c r="G334" s="118"/>
      <c r="H334" s="119"/>
      <c r="I334" s="119"/>
      <c r="J334" s="119"/>
      <c r="K334" s="119"/>
      <c r="L334" s="120"/>
      <c r="M334" s="119"/>
      <c r="N334" s="119"/>
      <c r="O334" s="120"/>
      <c r="P334" s="119"/>
      <c r="Q334" s="118"/>
    </row>
    <row r="335" spans="7:17" ht="18" customHeight="1">
      <c r="G335" s="118"/>
      <c r="H335" s="119"/>
      <c r="I335" s="119"/>
      <c r="J335" s="119"/>
      <c r="K335" s="119"/>
      <c r="L335" s="120"/>
      <c r="M335" s="119"/>
      <c r="N335" s="119"/>
      <c r="O335" s="120"/>
      <c r="P335" s="119"/>
      <c r="Q335" s="118"/>
    </row>
    <row r="336" spans="7:17" ht="18" customHeight="1">
      <c r="G336" s="118"/>
      <c r="H336" s="119"/>
      <c r="I336" s="119"/>
      <c r="J336" s="119"/>
      <c r="K336" s="119"/>
      <c r="L336" s="120"/>
      <c r="M336" s="119"/>
      <c r="N336" s="119"/>
      <c r="O336" s="120"/>
      <c r="P336" s="119"/>
      <c r="Q336" s="118"/>
    </row>
    <row r="337" spans="7:17" ht="18" customHeight="1">
      <c r="G337" s="118"/>
      <c r="H337" s="119"/>
      <c r="I337" s="119"/>
      <c r="J337" s="119"/>
      <c r="K337" s="119"/>
      <c r="L337" s="120"/>
      <c r="M337" s="119"/>
      <c r="N337" s="119"/>
      <c r="O337" s="120"/>
      <c r="P337" s="119"/>
      <c r="Q337" s="118"/>
    </row>
    <row r="338" spans="7:17" ht="18" customHeight="1">
      <c r="G338" s="118"/>
      <c r="H338" s="119"/>
      <c r="I338" s="119"/>
      <c r="J338" s="119"/>
      <c r="K338" s="119"/>
      <c r="L338" s="120"/>
      <c r="M338" s="119"/>
      <c r="N338" s="119"/>
      <c r="O338" s="120"/>
      <c r="P338" s="119"/>
      <c r="Q338" s="118"/>
    </row>
    <row r="339" spans="7:17" ht="18" customHeight="1">
      <c r="G339" s="118"/>
      <c r="H339" s="119"/>
      <c r="I339" s="119"/>
      <c r="J339" s="119"/>
      <c r="K339" s="119"/>
      <c r="L339" s="120"/>
      <c r="M339" s="119"/>
      <c r="N339" s="119"/>
      <c r="O339" s="120"/>
      <c r="P339" s="119"/>
      <c r="Q339" s="118"/>
    </row>
    <row r="340" spans="7:17" ht="18" customHeight="1">
      <c r="G340" s="118"/>
      <c r="H340" s="119"/>
      <c r="I340" s="119"/>
      <c r="J340" s="119"/>
      <c r="K340" s="119"/>
      <c r="L340" s="120"/>
      <c r="M340" s="119"/>
      <c r="N340" s="119"/>
      <c r="O340" s="120"/>
      <c r="P340" s="119"/>
      <c r="Q340" s="118"/>
    </row>
  </sheetData>
  <sheetProtection/>
  <mergeCells count="53">
    <mergeCell ref="B260:C260"/>
    <mergeCell ref="A326:C326"/>
    <mergeCell ref="G52:P52"/>
    <mergeCell ref="B249:C249"/>
    <mergeCell ref="B252:C252"/>
    <mergeCell ref="A255:C255"/>
    <mergeCell ref="B256:C256"/>
    <mergeCell ref="A259:C259"/>
    <mergeCell ref="B220:C220"/>
    <mergeCell ref="G238:P238"/>
    <mergeCell ref="G247:P247"/>
    <mergeCell ref="A248:C248"/>
    <mergeCell ref="G120:P120"/>
    <mergeCell ref="G127:P127"/>
    <mergeCell ref="A135:C135"/>
    <mergeCell ref="B136:C136"/>
    <mergeCell ref="G242:P242"/>
    <mergeCell ref="G103:P103"/>
    <mergeCell ref="G107:P107"/>
    <mergeCell ref="G111:P111"/>
    <mergeCell ref="G116:P116"/>
    <mergeCell ref="G226:P226"/>
    <mergeCell ref="G233:P233"/>
    <mergeCell ref="G134:P134"/>
    <mergeCell ref="B78:B87"/>
    <mergeCell ref="G78:P78"/>
    <mergeCell ref="G82:P82"/>
    <mergeCell ref="G94:P94"/>
    <mergeCell ref="B95:C95"/>
    <mergeCell ref="G99:P99"/>
    <mergeCell ref="G33:P33"/>
    <mergeCell ref="G41:P41"/>
    <mergeCell ref="B53:C53"/>
    <mergeCell ref="G61:P61"/>
    <mergeCell ref="B68:C68"/>
    <mergeCell ref="G72:P72"/>
    <mergeCell ref="B62:C62"/>
    <mergeCell ref="G65:P65"/>
    <mergeCell ref="G67:P67"/>
    <mergeCell ref="B63:B67"/>
    <mergeCell ref="B6:C6"/>
    <mergeCell ref="G6:Q6"/>
    <mergeCell ref="G10:P10"/>
    <mergeCell ref="G14:P14"/>
    <mergeCell ref="G17:P17"/>
    <mergeCell ref="B18:C18"/>
    <mergeCell ref="A3:C3"/>
    <mergeCell ref="D3:D4"/>
    <mergeCell ref="E3:E4"/>
    <mergeCell ref="F3:F4"/>
    <mergeCell ref="G3:Q4"/>
    <mergeCell ref="A5:C5"/>
    <mergeCell ref="G5:Q5"/>
  </mergeCells>
  <printOptions horizontalCentered="1"/>
  <pageMargins left="0.5905511811023623" right="0.5905511811023623" top="0.8267716535433072" bottom="0.4330708661417323" header="0.5118110236220472" footer="0.3937007874015748"/>
  <pageSetup fitToHeight="0" horizontalDpi="600" verticalDpi="600" orientation="portrait" paperSize="9" scale="63" r:id="rId3"/>
  <headerFooter alignWithMargins="0">
    <oddFooter>&amp;L&amp;8&amp;F/&amp;A&amp;C&amp;8- &amp;P -</oddFooter>
  </headerFooter>
  <rowBreaks count="5" manualBreakCount="5">
    <brk id="58" max="255" man="1"/>
    <brk id="116" max="255" man="1"/>
    <brk id="173" max="255" man="1"/>
    <brk id="233" max="255" man="1"/>
    <brk id="326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A1" sqref="A1:H1"/>
    </sheetView>
  </sheetViews>
  <sheetFormatPr defaultColWidth="10.28125" defaultRowHeight="12"/>
  <cols>
    <col min="1" max="1" width="6.8515625" style="4" customWidth="1"/>
    <col min="2" max="2" width="22.421875" style="4" bestFit="1" customWidth="1"/>
    <col min="3" max="3" width="14.28125" style="4" customWidth="1"/>
    <col min="4" max="4" width="7.7109375" style="4" bestFit="1" customWidth="1"/>
    <col min="5" max="5" width="14.421875" style="4" customWidth="1"/>
    <col min="6" max="6" width="7.7109375" style="4" bestFit="1" customWidth="1"/>
    <col min="7" max="7" width="13.140625" style="4" customWidth="1"/>
    <col min="8" max="8" width="10.421875" style="4" customWidth="1"/>
    <col min="9" max="9" width="10.28125" style="28" customWidth="1"/>
    <col min="10" max="16384" width="10.28125" style="4" customWidth="1"/>
  </cols>
  <sheetData>
    <row r="1" spans="1:8" ht="33" customHeight="1" thickBot="1">
      <c r="A1" s="359" t="s">
        <v>110</v>
      </c>
      <c r="B1" s="360"/>
      <c r="C1" s="360"/>
      <c r="D1" s="360"/>
      <c r="E1" s="360"/>
      <c r="F1" s="360"/>
      <c r="G1" s="360"/>
      <c r="H1" s="361"/>
    </row>
    <row r="2" ht="18.75" customHeight="1">
      <c r="H2" s="35" t="s">
        <v>44</v>
      </c>
    </row>
    <row r="3" spans="1:8" ht="25.5" customHeight="1">
      <c r="A3" s="354" t="s">
        <v>29</v>
      </c>
      <c r="B3" s="354"/>
      <c r="C3" s="354" t="s">
        <v>45</v>
      </c>
      <c r="D3" s="354"/>
      <c r="E3" s="354" t="s">
        <v>46</v>
      </c>
      <c r="F3" s="354"/>
      <c r="G3" s="354" t="s">
        <v>47</v>
      </c>
      <c r="H3" s="354" t="s">
        <v>30</v>
      </c>
    </row>
    <row r="4" spans="1:8" ht="24" customHeight="1">
      <c r="A4" s="3" t="s">
        <v>31</v>
      </c>
      <c r="B4" s="3" t="s">
        <v>32</v>
      </c>
      <c r="C4" s="3" t="s">
        <v>48</v>
      </c>
      <c r="D4" s="3" t="s">
        <v>33</v>
      </c>
      <c r="E4" s="3" t="s">
        <v>34</v>
      </c>
      <c r="F4" s="3" t="s">
        <v>33</v>
      </c>
      <c r="G4" s="354"/>
      <c r="H4" s="354"/>
    </row>
    <row r="5" spans="1:8" ht="24" customHeight="1">
      <c r="A5" s="357" t="s">
        <v>35</v>
      </c>
      <c r="B5" s="358"/>
      <c r="C5" s="2">
        <f>SUM(C6:C11)</f>
        <v>775273</v>
      </c>
      <c r="D5" s="36">
        <f aca="true" t="shared" si="0" ref="D5:D28">INT(C5/C$28*1000+0.5)/10</f>
        <v>54.8</v>
      </c>
      <c r="E5" s="2">
        <f>SUM(E6:E11)</f>
        <v>724553</v>
      </c>
      <c r="F5" s="36">
        <f aca="true" t="shared" si="1" ref="F5:F11">IF(E5=0,0,INT(E5/E$28*1000+0.5)/10)</f>
        <v>51.4</v>
      </c>
      <c r="G5" s="2">
        <f>SUM(G6:G11)</f>
        <v>50720</v>
      </c>
      <c r="H5" s="2"/>
    </row>
    <row r="6" spans="1:8" ht="24" customHeight="1">
      <c r="A6" s="355"/>
      <c r="B6" s="2" t="s">
        <v>90</v>
      </c>
      <c r="C6" s="96">
        <f>세출!D6</f>
        <v>291899</v>
      </c>
      <c r="D6" s="36">
        <f t="shared" si="0"/>
        <v>20.6</v>
      </c>
      <c r="E6" s="96">
        <f>세출!E6</f>
        <v>273765</v>
      </c>
      <c r="F6" s="36">
        <f t="shared" si="1"/>
        <v>19.4</v>
      </c>
      <c r="G6" s="2">
        <f aca="true" t="shared" si="2" ref="G6:G11">C6-E6</f>
        <v>18134</v>
      </c>
      <c r="H6" s="2"/>
    </row>
    <row r="7" spans="1:8" ht="24" customHeight="1">
      <c r="A7" s="356"/>
      <c r="B7" s="2" t="s">
        <v>400</v>
      </c>
      <c r="C7" s="96">
        <f>세출!D18</f>
        <v>26902</v>
      </c>
      <c r="D7" s="36">
        <f t="shared" si="0"/>
        <v>1.9</v>
      </c>
      <c r="E7" s="96">
        <f>세출!E18</f>
        <v>25964</v>
      </c>
      <c r="F7" s="36">
        <f t="shared" si="1"/>
        <v>1.8</v>
      </c>
      <c r="G7" s="2">
        <f t="shared" si="2"/>
        <v>938</v>
      </c>
      <c r="H7" s="2"/>
    </row>
    <row r="8" spans="1:8" ht="24" customHeight="1">
      <c r="A8" s="356"/>
      <c r="B8" s="2" t="s">
        <v>180</v>
      </c>
      <c r="C8" s="96">
        <f>세출!D53</f>
        <v>189044</v>
      </c>
      <c r="D8" s="36">
        <f t="shared" si="0"/>
        <v>13.4</v>
      </c>
      <c r="E8" s="96">
        <f>세출!E53</f>
        <v>177011</v>
      </c>
      <c r="F8" s="36">
        <f t="shared" si="1"/>
        <v>12.6</v>
      </c>
      <c r="G8" s="2">
        <f t="shared" si="2"/>
        <v>12033</v>
      </c>
      <c r="H8" s="2"/>
    </row>
    <row r="9" spans="1:8" ht="24" customHeight="1">
      <c r="A9" s="356"/>
      <c r="B9" s="2" t="s">
        <v>114</v>
      </c>
      <c r="C9" s="96">
        <f>세출!D62</f>
        <v>25042</v>
      </c>
      <c r="D9" s="36">
        <f t="shared" si="0"/>
        <v>1.8</v>
      </c>
      <c r="E9" s="96">
        <f>세출!E62</f>
        <v>36094</v>
      </c>
      <c r="F9" s="36">
        <f t="shared" si="1"/>
        <v>2.6</v>
      </c>
      <c r="G9" s="2">
        <f t="shared" si="2"/>
        <v>-11052</v>
      </c>
      <c r="H9" s="2"/>
    </row>
    <row r="10" spans="1:8" ht="24" customHeight="1">
      <c r="A10" s="356"/>
      <c r="B10" s="2" t="s">
        <v>394</v>
      </c>
      <c r="C10" s="96">
        <f>세출!D68</f>
        <v>55462</v>
      </c>
      <c r="D10" s="36">
        <f t="shared" si="0"/>
        <v>3.9</v>
      </c>
      <c r="E10" s="96">
        <f>세출!E68</f>
        <v>47666</v>
      </c>
      <c r="F10" s="36">
        <f t="shared" si="1"/>
        <v>3.4</v>
      </c>
      <c r="G10" s="2">
        <f t="shared" si="2"/>
        <v>7796</v>
      </c>
      <c r="H10" s="2"/>
    </row>
    <row r="11" spans="1:8" ht="24" customHeight="1">
      <c r="A11" s="356"/>
      <c r="B11" s="2" t="s">
        <v>401</v>
      </c>
      <c r="C11" s="96">
        <f>세출!D95</f>
        <v>186924</v>
      </c>
      <c r="D11" s="36">
        <f t="shared" si="0"/>
        <v>13.2</v>
      </c>
      <c r="E11" s="96">
        <f>세출!E95</f>
        <v>164053</v>
      </c>
      <c r="F11" s="36">
        <f t="shared" si="1"/>
        <v>11.6</v>
      </c>
      <c r="G11" s="2">
        <f t="shared" si="2"/>
        <v>22871</v>
      </c>
      <c r="H11" s="2"/>
    </row>
    <row r="12" spans="1:8" ht="24" customHeight="1">
      <c r="A12" s="357" t="s">
        <v>87</v>
      </c>
      <c r="B12" s="358"/>
      <c r="C12" s="2">
        <f>SUM(C13:C15)</f>
        <v>310104</v>
      </c>
      <c r="D12" s="36">
        <f t="shared" si="0"/>
        <v>21.9</v>
      </c>
      <c r="E12" s="2">
        <f>SUM(E13:E15)</f>
        <v>362683</v>
      </c>
      <c r="F12" s="36">
        <f aca="true" t="shared" si="3" ref="F12:F28">IF(E12=0,0,INT(E12/E$28*1000+0.5)/10)</f>
        <v>25.7</v>
      </c>
      <c r="G12" s="2">
        <f>SUM(G13:G15)</f>
        <v>-52579</v>
      </c>
      <c r="H12" s="2"/>
    </row>
    <row r="13" spans="1:8" ht="24" customHeight="1">
      <c r="A13" s="355"/>
      <c r="B13" s="2" t="s">
        <v>91</v>
      </c>
      <c r="C13" s="2">
        <f>세출!D137</f>
        <v>277052</v>
      </c>
      <c r="D13" s="36">
        <f t="shared" si="0"/>
        <v>19.6</v>
      </c>
      <c r="E13" s="2">
        <f>세출!E137</f>
        <v>322247</v>
      </c>
      <c r="F13" s="36">
        <f t="shared" si="3"/>
        <v>22.9</v>
      </c>
      <c r="G13" s="2">
        <f>+C13-E13</f>
        <v>-45195</v>
      </c>
      <c r="H13" s="2"/>
    </row>
    <row r="14" spans="1:8" ht="24" customHeight="1">
      <c r="A14" s="356"/>
      <c r="B14" s="2" t="s">
        <v>92</v>
      </c>
      <c r="C14" s="2">
        <f>세출!D221+세출!D227+세출!D234+세출!D239</f>
        <v>32048</v>
      </c>
      <c r="D14" s="36">
        <f t="shared" si="0"/>
        <v>2.3</v>
      </c>
      <c r="E14" s="2">
        <f>세출!E221+세출!E227+세출!E234+세출!E239</f>
        <v>39505</v>
      </c>
      <c r="F14" s="36">
        <f t="shared" si="3"/>
        <v>2.8</v>
      </c>
      <c r="G14" s="2">
        <f>+C14-E14</f>
        <v>-7457</v>
      </c>
      <c r="H14" s="2"/>
    </row>
    <row r="15" spans="1:8" ht="24" customHeight="1">
      <c r="A15" s="356"/>
      <c r="B15" s="2" t="s">
        <v>124</v>
      </c>
      <c r="C15" s="2">
        <f>세출!D243</f>
        <v>1004</v>
      </c>
      <c r="D15" s="36">
        <f t="shared" si="0"/>
        <v>0.1</v>
      </c>
      <c r="E15" s="2">
        <f>세출!E243</f>
        <v>931</v>
      </c>
      <c r="F15" s="36">
        <f t="shared" si="3"/>
        <v>0.1</v>
      </c>
      <c r="G15" s="2">
        <f>+C15-E15</f>
        <v>73</v>
      </c>
      <c r="H15" s="2"/>
    </row>
    <row r="16" spans="1:8" ht="24" customHeight="1">
      <c r="A16" s="357" t="s">
        <v>88</v>
      </c>
      <c r="B16" s="358"/>
      <c r="C16" s="2">
        <f>SUM(C17)</f>
        <v>0</v>
      </c>
      <c r="D16" s="36">
        <f t="shared" si="0"/>
        <v>0</v>
      </c>
      <c r="E16" s="2">
        <f>SUM(E17)</f>
        <v>0</v>
      </c>
      <c r="F16" s="36">
        <f t="shared" si="3"/>
        <v>0</v>
      </c>
      <c r="G16" s="2">
        <f>G17</f>
        <v>0</v>
      </c>
      <c r="H16" s="2"/>
    </row>
    <row r="17" spans="1:8" ht="24" customHeight="1">
      <c r="A17" s="98"/>
      <c r="B17" s="37" t="s">
        <v>96</v>
      </c>
      <c r="C17" s="2">
        <f>세출!D247</f>
        <v>0</v>
      </c>
      <c r="D17" s="36">
        <f t="shared" si="0"/>
        <v>0</v>
      </c>
      <c r="E17" s="2">
        <f>세출!E247</f>
        <v>0</v>
      </c>
      <c r="F17" s="36">
        <f t="shared" si="3"/>
        <v>0</v>
      </c>
      <c r="G17" s="2">
        <f>+C17-E17</f>
        <v>0</v>
      </c>
      <c r="H17" s="2"/>
    </row>
    <row r="18" spans="1:8" ht="24" customHeight="1">
      <c r="A18" s="357" t="s">
        <v>89</v>
      </c>
      <c r="B18" s="358"/>
      <c r="C18" s="2">
        <f>SUM(C19:C21)</f>
        <v>700</v>
      </c>
      <c r="D18" s="36">
        <f t="shared" si="0"/>
        <v>0</v>
      </c>
      <c r="E18" s="2">
        <f>SUM(E19:E21)</f>
        <v>1462</v>
      </c>
      <c r="F18" s="36">
        <f t="shared" si="3"/>
        <v>0.1</v>
      </c>
      <c r="G18" s="2">
        <f>SUM(G19:G21)</f>
        <v>-762</v>
      </c>
      <c r="H18" s="2"/>
    </row>
    <row r="19" spans="1:8" ht="24" customHeight="1">
      <c r="A19" s="355"/>
      <c r="B19" s="37" t="s">
        <v>93</v>
      </c>
      <c r="C19" s="2">
        <f>세출!D250</f>
        <v>700</v>
      </c>
      <c r="D19" s="36">
        <f t="shared" si="0"/>
        <v>0</v>
      </c>
      <c r="E19" s="2">
        <f>세출!E250</f>
        <v>502</v>
      </c>
      <c r="F19" s="36">
        <f t="shared" si="3"/>
        <v>0</v>
      </c>
      <c r="G19" s="2">
        <f>+C19-E19</f>
        <v>198</v>
      </c>
      <c r="H19" s="2"/>
    </row>
    <row r="20" spans="1:8" ht="24" customHeight="1">
      <c r="A20" s="356"/>
      <c r="B20" s="37" t="s">
        <v>94</v>
      </c>
      <c r="C20" s="2">
        <f>세출!D253</f>
        <v>0</v>
      </c>
      <c r="D20" s="36">
        <f t="shared" si="0"/>
        <v>0</v>
      </c>
      <c r="E20" s="2">
        <f>세출!E253</f>
        <v>960</v>
      </c>
      <c r="F20" s="36">
        <f t="shared" si="3"/>
        <v>0.1</v>
      </c>
      <c r="G20" s="2">
        <f>+C20-E20</f>
        <v>-960</v>
      </c>
      <c r="H20" s="2"/>
    </row>
    <row r="21" spans="1:8" ht="24" customHeight="1">
      <c r="A21" s="356"/>
      <c r="B21" s="37" t="s">
        <v>95</v>
      </c>
      <c r="C21" s="2">
        <f>세출!D254</f>
        <v>0</v>
      </c>
      <c r="D21" s="36">
        <f t="shared" si="0"/>
        <v>0</v>
      </c>
      <c r="E21" s="2">
        <f>세출!E254</f>
        <v>0</v>
      </c>
      <c r="F21" s="36">
        <f t="shared" si="3"/>
        <v>0</v>
      </c>
      <c r="G21" s="2">
        <f>+C21-E21</f>
        <v>0</v>
      </c>
      <c r="H21" s="2"/>
    </row>
    <row r="22" spans="1:8" ht="24" customHeight="1">
      <c r="A22" s="357" t="s">
        <v>111</v>
      </c>
      <c r="B22" s="358"/>
      <c r="C22" s="2">
        <f>세출!D257</f>
        <v>1000</v>
      </c>
      <c r="D22" s="36">
        <f t="shared" si="0"/>
        <v>0.1</v>
      </c>
      <c r="E22" s="2">
        <f>세출!E257</f>
        <v>0</v>
      </c>
      <c r="F22" s="36">
        <f t="shared" si="3"/>
        <v>0</v>
      </c>
      <c r="G22" s="2">
        <f>+C22-E22</f>
        <v>1000</v>
      </c>
      <c r="H22" s="2"/>
    </row>
    <row r="23" spans="1:8" ht="24" customHeight="1">
      <c r="A23" s="357" t="s">
        <v>112</v>
      </c>
      <c r="B23" s="358"/>
      <c r="C23" s="2">
        <f>SUM(C24:C27)</f>
        <v>327216</v>
      </c>
      <c r="D23" s="36">
        <f t="shared" si="0"/>
        <v>23.1</v>
      </c>
      <c r="E23" s="2">
        <f>SUM(E24:E27)</f>
        <v>321118</v>
      </c>
      <c r="F23" s="36">
        <f t="shared" si="3"/>
        <v>22.8</v>
      </c>
      <c r="G23" s="2">
        <f>SUM(G24:G27)</f>
        <v>6098</v>
      </c>
      <c r="H23" s="2"/>
    </row>
    <row r="24" spans="1:8" ht="24" customHeight="1">
      <c r="A24" s="355"/>
      <c r="B24" s="37" t="s">
        <v>402</v>
      </c>
      <c r="C24" s="2">
        <f>세출!D261</f>
        <v>124760</v>
      </c>
      <c r="D24" s="36">
        <f t="shared" si="0"/>
        <v>8.8</v>
      </c>
      <c r="E24" s="2">
        <f>세출!E261</f>
        <v>116359</v>
      </c>
      <c r="F24" s="36">
        <f t="shared" si="3"/>
        <v>8.3</v>
      </c>
      <c r="G24" s="2">
        <f>+C24-E24</f>
        <v>8401</v>
      </c>
      <c r="H24" s="2"/>
    </row>
    <row r="25" spans="1:8" ht="24" customHeight="1">
      <c r="A25" s="356"/>
      <c r="B25" s="37" t="s">
        <v>403</v>
      </c>
      <c r="C25" s="2">
        <f>세출!D267</f>
        <v>29940</v>
      </c>
      <c r="D25" s="36">
        <f t="shared" si="0"/>
        <v>2.1</v>
      </c>
      <c r="E25" s="2">
        <f>세출!E267</f>
        <v>16789</v>
      </c>
      <c r="F25" s="36">
        <f t="shared" si="3"/>
        <v>1.2</v>
      </c>
      <c r="G25" s="2">
        <f>+C25-E25</f>
        <v>13151</v>
      </c>
      <c r="H25" s="2"/>
    </row>
    <row r="26" spans="1:8" ht="24" customHeight="1">
      <c r="A26" s="356"/>
      <c r="B26" s="37" t="s">
        <v>302</v>
      </c>
      <c r="C26" s="2">
        <f>세출!D271</f>
        <v>45796</v>
      </c>
      <c r="D26" s="36">
        <f t="shared" si="0"/>
        <v>3.2</v>
      </c>
      <c r="E26" s="2">
        <f>세출!E271</f>
        <v>47067</v>
      </c>
      <c r="F26" s="36">
        <f>IF(E26=0,0,INT(E26/E$28*1000+0.5)/10)</f>
        <v>3.3</v>
      </c>
      <c r="G26" s="2">
        <f>+C26-E26</f>
        <v>-1271</v>
      </c>
      <c r="H26" s="2"/>
    </row>
    <row r="27" spans="1:8" ht="24" customHeight="1">
      <c r="A27" s="356"/>
      <c r="B27" s="37" t="s">
        <v>404</v>
      </c>
      <c r="C27" s="2">
        <f>세출!D277</f>
        <v>126720</v>
      </c>
      <c r="D27" s="36">
        <f t="shared" si="0"/>
        <v>9</v>
      </c>
      <c r="E27" s="2">
        <f>세출!E277</f>
        <v>140903</v>
      </c>
      <c r="F27" s="36">
        <f t="shared" si="3"/>
        <v>10</v>
      </c>
      <c r="G27" s="2">
        <f>+C27-E27</f>
        <v>-14183</v>
      </c>
      <c r="H27" s="2"/>
    </row>
    <row r="28" spans="1:8" ht="24" customHeight="1">
      <c r="A28" s="354" t="s">
        <v>36</v>
      </c>
      <c r="B28" s="354"/>
      <c r="C28" s="2">
        <f>SUM(C5,C12,C16,C18,C23,C22)</f>
        <v>1414293</v>
      </c>
      <c r="D28" s="36">
        <f t="shared" si="0"/>
        <v>100</v>
      </c>
      <c r="E28" s="2">
        <f>SUM(E5,E12,E16,E18,E23,E22)</f>
        <v>1409816</v>
      </c>
      <c r="F28" s="36">
        <f t="shared" si="3"/>
        <v>100</v>
      </c>
      <c r="G28" s="2">
        <f>SUM(G5,G12,G16,G18,G23,G22)</f>
        <v>4477</v>
      </c>
      <c r="H28" s="2"/>
    </row>
  </sheetData>
  <sheetProtection/>
  <mergeCells count="17">
    <mergeCell ref="A16:B16"/>
    <mergeCell ref="A23:B23"/>
    <mergeCell ref="A24:A27"/>
    <mergeCell ref="A1:H1"/>
    <mergeCell ref="A6:A11"/>
    <mergeCell ref="A5:B5"/>
    <mergeCell ref="A12:B12"/>
    <mergeCell ref="A28:B28"/>
    <mergeCell ref="A3:B3"/>
    <mergeCell ref="H3:H4"/>
    <mergeCell ref="G3:G4"/>
    <mergeCell ref="C3:D3"/>
    <mergeCell ref="E3:F3"/>
    <mergeCell ref="A13:A15"/>
    <mergeCell ref="A18:B18"/>
    <mergeCell ref="A19:A21"/>
    <mergeCell ref="A22:B22"/>
  </mergeCells>
  <printOptions horizontalCentered="1"/>
  <pageMargins left="0.3937007874015748" right="0.3937007874015748" top="0.96" bottom="0.53" header="0.8" footer="0.41"/>
  <pageSetup fitToHeight="0" fitToWidth="1" horizontalDpi="600" verticalDpi="600" orientation="portrait" paperSize="9" scale="94" r:id="rId3"/>
  <ignoredErrors>
    <ignoredError sqref="D12:G12 D16:G16 D13:D15 F13:G15 D18:G18 D17 F17:G17 D28:G28 D19:D22 F19:G22 D23:G23 D25 D24 F24:G24 F25:G25 D27 F27:G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여천고등학교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subject/>
  <dc:creator>행정실</dc:creator>
  <cp:keywords/>
  <dc:description/>
  <cp:lastModifiedBy>TG</cp:lastModifiedBy>
  <cp:lastPrinted>2016-02-23T10:59:13Z</cp:lastPrinted>
  <dcterms:created xsi:type="dcterms:W3CDTF">2000-12-01T23:43:26Z</dcterms:created>
  <dcterms:modified xsi:type="dcterms:W3CDTF">2016-02-24T04:17:57Z</dcterms:modified>
  <cp:category/>
  <cp:version/>
  <cp:contentType/>
  <cp:contentStatus/>
</cp:coreProperties>
</file>