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400" windowHeight="6465" tabRatio="641" activeTab="0"/>
  </bookViews>
  <sheets>
    <sheet name="표지" sheetId="1" r:id="rId1"/>
    <sheet name="목차" sheetId="2" r:id="rId2"/>
    <sheet name="총괄표" sheetId="3" r:id="rId3"/>
    <sheet name="총칙" sheetId="4" r:id="rId4"/>
    <sheet name="관별" sheetId="5" r:id="rId5"/>
    <sheet name="세입" sheetId="6" r:id="rId6"/>
    <sheet name="세출" sheetId="7" r:id="rId7"/>
  </sheets>
  <externalReferences>
    <externalReference r:id="rId10"/>
  </externalReferences>
  <definedNames>
    <definedName name="_xlnm.Print_Area" localSheetId="4">'관별'!$A$1:$J$22</definedName>
    <definedName name="_xlnm.Print_Area" localSheetId="5">'세입'!$A$1:$I$82</definedName>
    <definedName name="_xlnm.Print_Titles" localSheetId="5">'세입'!$3:$5</definedName>
    <definedName name="_xlnm.Print_Titles" localSheetId="6">'세출'!$3:$5</definedName>
    <definedName name="Z_68F178D3_0354_11D6_9F0E_00C02659FFE6_.wvu.PrintTitles" localSheetId="5" hidden="1">'세입'!$3:$5</definedName>
    <definedName name="Z_68F178D3_0354_11D6_9F0E_00C02659FFE6_.wvu.PrintTitles" localSheetId="6" hidden="1">'세출'!$3:$5</definedName>
  </definedNames>
  <calcPr fullCalcOnLoad="1"/>
</workbook>
</file>

<file path=xl/comments6.xml><?xml version="1.0" encoding="utf-8"?>
<comments xmlns="http://schemas.openxmlformats.org/spreadsheetml/2006/main">
  <authors>
    <author>.</author>
  </authors>
  <commentList>
    <comment ref="C30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C49" authorId="0">
      <text>
        <r>
          <rPr>
            <b/>
            <sz val="9"/>
            <rFont val="굴림"/>
            <family val="3"/>
          </rPr>
          <t>전년도 사용잔액</t>
        </r>
      </text>
    </comment>
    <comment ref="C34" authorId="0">
      <text>
        <r>
          <rPr>
            <b/>
            <sz val="9"/>
            <rFont val="굴림"/>
            <family val="3"/>
          </rPr>
          <t>교육청 지원금</t>
        </r>
      </text>
    </comment>
    <comment ref="D6" authorId="0">
      <text>
        <r>
          <rPr>
            <b/>
            <sz val="9"/>
            <rFont val="굴림"/>
            <family val="3"/>
          </rPr>
          <t>항의 예산액이 자동으로 더해지니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목의 예산액이 자동으로 더해지니 입력하지 마시오</t>
        </r>
      </text>
    </comment>
    <comment ref="F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E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D21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E2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21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D3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3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3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D48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48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48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D5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D7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7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7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30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F49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F79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2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2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2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3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3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3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47" authorId="0">
      <text>
        <r>
          <rPr>
            <sz val="9"/>
            <rFont val="굴림"/>
            <family val="3"/>
          </rPr>
          <t xml:space="preserve">항의 예산액이 자동으로 더해짐으로 입력하지 마시오
</t>
        </r>
      </text>
    </comment>
    <comment ref="F47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5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5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7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7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7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82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E82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F82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C22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4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8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7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7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7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7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6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E47" authorId="0">
      <text>
        <r>
          <rPr>
            <sz val="9"/>
            <rFont val="굴림"/>
            <family val="3"/>
          </rPr>
          <t xml:space="preserve">항의 예산액이 자동으로 더해짐으로 입력하지 마시오
</t>
        </r>
      </text>
    </comment>
    <comment ref="C42" authorId="0">
      <text>
        <r>
          <rPr>
            <b/>
            <sz val="9"/>
            <rFont val="굴림"/>
            <family val="3"/>
          </rPr>
          <t>국가.시도 지원금
국가.시도 지원금</t>
        </r>
      </text>
    </comment>
    <comment ref="F57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F7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</commentList>
</comments>
</file>

<file path=xl/comments7.xml><?xml version="1.0" encoding="utf-8"?>
<comments xmlns="http://schemas.openxmlformats.org/spreadsheetml/2006/main">
  <authors>
    <author>.</author>
  </authors>
  <commentList>
    <comment ref="D12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7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7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8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E7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19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7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16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</commentList>
</comments>
</file>

<file path=xl/sharedStrings.xml><?xml version="1.0" encoding="utf-8"?>
<sst xmlns="http://schemas.openxmlformats.org/spreadsheetml/2006/main" count="1401" uniqueCount="456">
  <si>
    <t>명</t>
  </si>
  <si>
    <t>×</t>
  </si>
  <si>
    <t>월</t>
  </si>
  <si>
    <t>원</t>
  </si>
  <si>
    <t>원</t>
  </si>
  <si>
    <t>×</t>
  </si>
  <si>
    <t>회</t>
  </si>
  <si>
    <t>과                  목</t>
  </si>
  <si>
    <t>비     교
증 △ 감</t>
  </si>
  <si>
    <t>산      출        기      초  (원)</t>
  </si>
  <si>
    <t>관</t>
  </si>
  <si>
    <t>항</t>
  </si>
  <si>
    <t>목</t>
  </si>
  <si>
    <t>소                계</t>
  </si>
  <si>
    <t>=</t>
  </si>
  <si>
    <t>세   입     합   계</t>
  </si>
  <si>
    <t>월</t>
  </si>
  <si>
    <t>소                    계</t>
  </si>
  <si>
    <t>=</t>
  </si>
  <si>
    <t>1.인건비</t>
  </si>
  <si>
    <t>=</t>
  </si>
  <si>
    <t>원</t>
  </si>
  <si>
    <t>1.예비비</t>
  </si>
  <si>
    <t>세   출     합   계</t>
  </si>
  <si>
    <t>회</t>
  </si>
  <si>
    <t>월</t>
  </si>
  <si>
    <t>명</t>
  </si>
  <si>
    <t>소                        계</t>
  </si>
  <si>
    <t>×</t>
  </si>
  <si>
    <r>
      <t xml:space="preserve"> </t>
    </r>
    <r>
      <rPr>
        <sz val="10"/>
        <rFont val="바탕"/>
        <family val="1"/>
      </rPr>
      <t xml:space="preserve"> o  전기요금</t>
    </r>
  </si>
  <si>
    <r>
      <t xml:space="preserve"> </t>
    </r>
    <r>
      <rPr>
        <sz val="10"/>
        <rFont val="바탕"/>
        <family val="1"/>
      </rPr>
      <t xml:space="preserve"> ㅇ 공문발송용</t>
    </r>
    <r>
      <rPr>
        <sz val="10"/>
        <rFont val="바탕"/>
        <family val="1"/>
      </rPr>
      <t xml:space="preserve"> 우표 구입 </t>
    </r>
  </si>
  <si>
    <t xml:space="preserve">  ㅇ 상하수도요금</t>
  </si>
  <si>
    <t>1.사용료및수수료</t>
  </si>
  <si>
    <t>1.납교금</t>
  </si>
  <si>
    <t>1.입학금</t>
  </si>
  <si>
    <t xml:space="preserve">ㅇ 입학금    </t>
  </si>
  <si>
    <t>2.수업료</t>
  </si>
  <si>
    <t xml:space="preserve">ㅇ 각종증명료    </t>
  </si>
  <si>
    <t>3.증명료</t>
  </si>
  <si>
    <r>
      <t>1</t>
    </r>
    <r>
      <rPr>
        <sz val="10"/>
        <rFont val="바탕"/>
        <family val="1"/>
      </rPr>
      <t>. 국내보조금</t>
    </r>
  </si>
  <si>
    <r>
      <t>2</t>
    </r>
    <r>
      <rPr>
        <sz val="10"/>
        <rFont val="바탕"/>
        <family val="1"/>
      </rPr>
      <t>. 전입금</t>
    </r>
  </si>
  <si>
    <t>1.설립자부담금</t>
  </si>
  <si>
    <t>1.연금부담금</t>
  </si>
  <si>
    <t>3.원조보조금</t>
  </si>
  <si>
    <t>4.이월금</t>
  </si>
  <si>
    <r>
      <t>1</t>
    </r>
    <r>
      <rPr>
        <sz val="10"/>
        <rFont val="바탕"/>
        <family val="1"/>
      </rPr>
      <t>. 전년도이월금</t>
    </r>
  </si>
  <si>
    <r>
      <t>1</t>
    </r>
    <r>
      <rPr>
        <sz val="10"/>
        <rFont val="바탕"/>
        <family val="1"/>
      </rPr>
      <t>. 전년도불용액</t>
    </r>
  </si>
  <si>
    <t xml:space="preserve"> ㅇ 전년도불용액</t>
  </si>
  <si>
    <r>
      <t>1</t>
    </r>
    <r>
      <rPr>
        <sz val="10"/>
        <rFont val="바탕"/>
        <family val="1"/>
      </rPr>
      <t>. 수익자부담교육비</t>
    </r>
  </si>
  <si>
    <r>
      <t>6</t>
    </r>
    <r>
      <rPr>
        <sz val="10"/>
        <rFont val="바탕"/>
        <family val="1"/>
      </rPr>
      <t>.잡수입</t>
    </r>
  </si>
  <si>
    <r>
      <t>1</t>
    </r>
    <r>
      <rPr>
        <sz val="10"/>
        <rFont val="바탕"/>
        <family val="1"/>
      </rPr>
      <t>.예금이자</t>
    </r>
  </si>
  <si>
    <t>1.예금이자</t>
  </si>
  <si>
    <t xml:space="preserve"> ㅇ 예금이자</t>
  </si>
  <si>
    <r>
      <t>1</t>
    </r>
    <r>
      <rPr>
        <sz val="10"/>
        <rFont val="바탕"/>
        <family val="1"/>
      </rPr>
      <t>.봉급</t>
    </r>
  </si>
  <si>
    <t>1.교원봉급</t>
  </si>
  <si>
    <t>◎ 교원봉급</t>
  </si>
  <si>
    <r>
      <t>2</t>
    </r>
    <r>
      <rPr>
        <sz val="10"/>
        <rFont val="바탕"/>
        <family val="1"/>
      </rPr>
      <t>.정액수당</t>
    </r>
  </si>
  <si>
    <t>1.교원수당</t>
  </si>
  <si>
    <r>
      <t>1</t>
    </r>
    <r>
      <rPr>
        <sz val="10"/>
        <rFont val="바탕"/>
        <family val="1"/>
      </rPr>
      <t>.학교운영비</t>
    </r>
  </si>
  <si>
    <t>1학교교육비</t>
  </si>
  <si>
    <r>
      <t>2</t>
    </r>
    <r>
      <rPr>
        <sz val="10"/>
        <rFont val="바탕"/>
        <family val="1"/>
      </rPr>
      <t>.재산관리비</t>
    </r>
  </si>
  <si>
    <r>
      <t>4</t>
    </r>
    <r>
      <rPr>
        <sz val="10"/>
        <rFont val="바탕"/>
        <family val="1"/>
      </rPr>
      <t>.보건체육비</t>
    </r>
  </si>
  <si>
    <r>
      <t>1</t>
    </r>
    <r>
      <rPr>
        <sz val="10"/>
        <rFont val="바탕"/>
        <family val="1"/>
      </rPr>
      <t>.학생보건비</t>
    </r>
  </si>
  <si>
    <r>
      <t>1</t>
    </r>
    <r>
      <rPr>
        <sz val="10"/>
        <rFont val="바탕"/>
        <family val="1"/>
      </rPr>
      <t>.의료비</t>
    </r>
  </si>
  <si>
    <r>
      <t>2</t>
    </r>
    <r>
      <rPr>
        <sz val="10"/>
        <rFont val="바탕"/>
        <family val="1"/>
      </rPr>
      <t>.체력관리비</t>
    </r>
  </si>
  <si>
    <r>
      <t>1</t>
    </r>
    <r>
      <rPr>
        <sz val="10"/>
        <rFont val="바탕"/>
        <family val="1"/>
      </rPr>
      <t>.체육행사비</t>
    </r>
  </si>
  <si>
    <t>5.예비비</t>
  </si>
  <si>
    <t>6.학교운영지원비</t>
  </si>
  <si>
    <r>
      <t>5</t>
    </r>
    <r>
      <rPr>
        <sz val="10"/>
        <rFont val="바탕"/>
        <family val="1"/>
      </rPr>
      <t>.학교운영지원비</t>
    </r>
  </si>
  <si>
    <t>=</t>
  </si>
  <si>
    <r>
      <t xml:space="preserve">소 </t>
    </r>
    <r>
      <rPr>
        <sz val="10"/>
        <rFont val="바탕"/>
        <family val="1"/>
      </rPr>
      <t xml:space="preserve">                 계</t>
    </r>
  </si>
  <si>
    <t>명</t>
  </si>
  <si>
    <t>◎ 공공요금 및 제세공과금</t>
  </si>
  <si>
    <t>◎ 체육행사비</t>
  </si>
  <si>
    <t>1.재해보상부담금</t>
  </si>
  <si>
    <t>1.건강보험부담금</t>
  </si>
  <si>
    <t>1.학교운영비</t>
  </si>
  <si>
    <t xml:space="preserve">ㅇ 교직원 연금부담금   </t>
  </si>
  <si>
    <t xml:space="preserve">ㅇ 교직원 재해보상부담금   </t>
  </si>
  <si>
    <t xml:space="preserve">ㅇ 교직원 건강보험부담금    </t>
  </si>
  <si>
    <t xml:space="preserve">ㅇ 학교운영비   </t>
  </si>
  <si>
    <t>1.특정보조금</t>
  </si>
  <si>
    <t>3. 학교급식비</t>
  </si>
  <si>
    <t xml:space="preserve"> ㅇ 급식비</t>
  </si>
  <si>
    <t xml:space="preserve"> ㅇ 간식비</t>
  </si>
  <si>
    <t>4. 기타수익자부담교육비</t>
  </si>
  <si>
    <t>2.잡수입</t>
  </si>
  <si>
    <t>1.교내재산임대료</t>
  </si>
  <si>
    <t>◎ 의료비 (원아상비약품구입)</t>
  </si>
  <si>
    <t>ㅇ 간식비</t>
  </si>
  <si>
    <t>원</t>
  </si>
  <si>
    <t>×</t>
  </si>
  <si>
    <t>명</t>
  </si>
  <si>
    <t>=</t>
  </si>
  <si>
    <t>소                         계</t>
  </si>
  <si>
    <t xml:space="preserve"> </t>
  </si>
  <si>
    <t>계</t>
  </si>
  <si>
    <t>일</t>
  </si>
  <si>
    <t>3.학교급식비</t>
  </si>
  <si>
    <t>ㅇ 급식비</t>
  </si>
  <si>
    <t>4.기타수익자부담금</t>
  </si>
  <si>
    <t>ㅇ 인건비</t>
  </si>
  <si>
    <t>ㅇ 영양사</t>
  </si>
  <si>
    <t xml:space="preserve"> ㅇ 연봉</t>
  </si>
  <si>
    <t>명</t>
  </si>
  <si>
    <t xml:space="preserve"> </t>
  </si>
  <si>
    <t xml:space="preserve"> ㅇ 연차수당 </t>
  </si>
  <si>
    <t xml:space="preserve"> ㅇ 각종보험료 </t>
  </si>
  <si>
    <t xml:space="preserve">  - 국민연금</t>
  </si>
  <si>
    <t>%</t>
  </si>
  <si>
    <t xml:space="preserve">  - 고용보험</t>
  </si>
  <si>
    <t xml:space="preserve">  - 건강보험</t>
  </si>
  <si>
    <t xml:space="preserve">  - 산재보험</t>
  </si>
  <si>
    <t xml:space="preserve"> ㅇ 퇴직적립금  </t>
  </si>
  <si>
    <t>/</t>
  </si>
  <si>
    <t>월</t>
  </si>
  <si>
    <t>ㅇ 조리사</t>
  </si>
  <si>
    <t>ㅇ 조리보조</t>
  </si>
  <si>
    <t>원</t>
  </si>
  <si>
    <t>회</t>
  </si>
  <si>
    <t>㎥</t>
  </si>
  <si>
    <t>월</t>
  </si>
  <si>
    <t>월</t>
  </si>
  <si>
    <r>
      <t>1</t>
    </r>
    <r>
      <rPr>
        <sz val="10"/>
        <rFont val="바탕"/>
        <family val="1"/>
      </rPr>
      <t>.</t>
    </r>
    <r>
      <rPr>
        <sz val="10"/>
        <rFont val="바탕"/>
        <family val="1"/>
      </rPr>
      <t>건물유지비</t>
    </r>
  </si>
  <si>
    <r>
      <t>2</t>
    </r>
    <r>
      <rPr>
        <sz val="10"/>
        <rFont val="바탕"/>
        <family val="1"/>
      </rPr>
      <t>.설비유지비</t>
    </r>
  </si>
  <si>
    <t>◎ 정근수당</t>
  </si>
  <si>
    <t>◎ 교직수당</t>
  </si>
  <si>
    <t>◎ 정근수당가산금</t>
  </si>
  <si>
    <t xml:space="preserve">    가. 25년이상</t>
  </si>
  <si>
    <t xml:space="preserve">    가. 20년-25년</t>
  </si>
  <si>
    <t>◎ 보전수당</t>
  </si>
  <si>
    <t xml:space="preserve">    가. 원감</t>
  </si>
  <si>
    <t>◎ 가족수당</t>
  </si>
  <si>
    <t xml:space="preserve">    가. 배우자</t>
  </si>
  <si>
    <t>◎ 보건활동수당</t>
  </si>
  <si>
    <r>
      <t>1</t>
    </r>
    <r>
      <rPr>
        <sz val="10"/>
        <rFont val="바탕"/>
        <family val="1"/>
      </rPr>
      <t>. 연금부담금</t>
    </r>
  </si>
  <si>
    <t xml:space="preserve"> ◎ 교원 연금부담금</t>
  </si>
  <si>
    <t>월</t>
  </si>
  <si>
    <t xml:space="preserve"> ◎ 직원 연금부담금</t>
  </si>
  <si>
    <t>2.건강보험료</t>
  </si>
  <si>
    <t>3.재해보상부담금</t>
  </si>
  <si>
    <t xml:space="preserve"> ◎ 교원 건강보험료</t>
  </si>
  <si>
    <t xml:space="preserve"> ◎ 직원 건강보험료</t>
  </si>
  <si>
    <t xml:space="preserve"> ◎ 교원 재해보상부담금</t>
  </si>
  <si>
    <t xml:space="preserve"> ◎ 직원 재해보상부담금</t>
  </si>
  <si>
    <t>2.사무원봉급</t>
  </si>
  <si>
    <t>2. 사무직정액수당</t>
  </si>
  <si>
    <t xml:space="preserve"> ◎ 급식비</t>
  </si>
  <si>
    <t xml:space="preserve"> ◎ 명절휴가비</t>
  </si>
  <si>
    <t xml:space="preserve"> ◎ 연가보상비</t>
  </si>
  <si>
    <r>
      <t>1</t>
    </r>
    <r>
      <rPr>
        <sz val="10"/>
        <rFont val="바탕"/>
        <family val="1"/>
      </rPr>
      <t>.강사료</t>
    </r>
  </si>
  <si>
    <t xml:space="preserve"> ◎ 직원시간외수당</t>
  </si>
  <si>
    <t xml:space="preserve"> ◎ 교원개인연금지원금</t>
  </si>
  <si>
    <t xml:space="preserve"> ◎ 직원개인연금지원금</t>
  </si>
  <si>
    <t xml:space="preserve"> ◎ 직원직급보조비</t>
  </si>
  <si>
    <t>2.초과근무수당</t>
  </si>
  <si>
    <t xml:space="preserve">  ㅇ 공용휴대전화료</t>
  </si>
  <si>
    <t>◎ 연료비</t>
  </si>
  <si>
    <t xml:space="preserve">  ㅇ 기타연료</t>
  </si>
  <si>
    <t>◎ 수수료</t>
  </si>
  <si>
    <t>◎ 수선비</t>
  </si>
  <si>
    <r>
      <t xml:space="preserve"> </t>
    </r>
    <r>
      <rPr>
        <sz val="10"/>
        <rFont val="바탕"/>
        <family val="1"/>
      </rPr>
      <t xml:space="preserve"> ㅇ 일반비품</t>
    </r>
    <r>
      <rPr>
        <sz val="10"/>
        <rFont val="바탕"/>
        <family val="1"/>
      </rPr>
      <t xml:space="preserve"> </t>
    </r>
  </si>
  <si>
    <t xml:space="preserve">  ㅇ 교육용품 및사무용품</t>
  </si>
  <si>
    <t>◎ 도서인쇄비</t>
  </si>
  <si>
    <t xml:space="preserve">  ㅇ 유아도서</t>
  </si>
  <si>
    <r>
      <t xml:space="preserve">  ㅇ 인쇄비</t>
    </r>
    <r>
      <rPr>
        <sz val="10"/>
        <rFont val="바탕"/>
        <family val="1"/>
      </rPr>
      <t>(간행물)</t>
    </r>
  </si>
  <si>
    <t>×</t>
  </si>
  <si>
    <t>◎ 회의비</t>
  </si>
  <si>
    <t xml:space="preserve">  ㅇ 방화관리자회비</t>
  </si>
  <si>
    <t xml:space="preserve">  ㅇ 조직활성화</t>
  </si>
  <si>
    <t>◎ 일반활동비</t>
  </si>
  <si>
    <t>◎ 복리후생비</t>
  </si>
  <si>
    <t>◎ 행사비</t>
  </si>
  <si>
    <t xml:space="preserve">  ㅇ 학생행사(입학,졸업)</t>
  </si>
  <si>
    <t>◎ 교육훈련비</t>
  </si>
  <si>
    <t>◎ 교육교재비</t>
  </si>
  <si>
    <t>◎ 보조사업비</t>
  </si>
  <si>
    <t>◎ 잡지출</t>
  </si>
  <si>
    <t>◎ 중점사업비</t>
  </si>
  <si>
    <t xml:space="preserve">  ㅇ 독서토론교육</t>
  </si>
  <si>
    <t xml:space="preserve">  ㅇ 직무연수비</t>
  </si>
  <si>
    <t>◎ 자산취득비</t>
  </si>
  <si>
    <t xml:space="preserve">  ㅇ 소방설비 법정안전점검</t>
  </si>
  <si>
    <t>◎ 건물유지비</t>
  </si>
  <si>
    <t xml:space="preserve">  ㅇ 소보수비</t>
  </si>
  <si>
    <t xml:space="preserve">  ㅇ 기타건물유지비</t>
  </si>
  <si>
    <t>◎ 통신협력작업비</t>
  </si>
  <si>
    <r>
      <t xml:space="preserve"> </t>
    </r>
    <r>
      <rPr>
        <sz val="10"/>
        <rFont val="바탕"/>
        <family val="1"/>
      </rPr>
      <t xml:space="preserve"> o  통신협력작업비</t>
    </r>
  </si>
  <si>
    <t>◎ 녹화협력작업비</t>
  </si>
  <si>
    <r>
      <t xml:space="preserve"> </t>
    </r>
    <r>
      <rPr>
        <sz val="10"/>
        <rFont val="바탕"/>
        <family val="1"/>
      </rPr>
      <t xml:space="preserve"> o  녹화협력고정비</t>
    </r>
  </si>
  <si>
    <r>
      <t xml:space="preserve"> </t>
    </r>
    <r>
      <rPr>
        <sz val="10"/>
        <rFont val="바탕"/>
        <family val="1"/>
      </rPr>
      <t xml:space="preserve"> o  녹화협력변동비</t>
    </r>
  </si>
  <si>
    <t>수익자부담금</t>
  </si>
  <si>
    <t xml:space="preserve">ㅇ 기간제교사 퇴직금   </t>
  </si>
  <si>
    <t>1.기간제교사퇴직금</t>
  </si>
  <si>
    <t>◎ 사무원봉급</t>
  </si>
  <si>
    <t>◎ 자녀학비수당</t>
  </si>
  <si>
    <t>3. 임시직급여</t>
  </si>
  <si>
    <t>◎ 기간제교사급여</t>
  </si>
  <si>
    <t>◎ 기간제교사정액수당</t>
  </si>
  <si>
    <t>◎ 기간제교사초과근무</t>
  </si>
  <si>
    <t>◎ 기간제교사복리후생</t>
  </si>
  <si>
    <t xml:space="preserve"> ◎ 교원 노인요양보험료</t>
  </si>
  <si>
    <t xml:space="preserve"> ◎ 직원 노인요양보험료</t>
  </si>
  <si>
    <t>4.기간제퇴직부담금</t>
  </si>
  <si>
    <t>◎ 기간제퇴직부담금</t>
  </si>
  <si>
    <t>3.직급보조비</t>
  </si>
  <si>
    <t>4.교원복리후생비</t>
  </si>
  <si>
    <t>5.직원복리후생비</t>
  </si>
  <si>
    <t>6.기타수당</t>
  </si>
  <si>
    <t xml:space="preserve"> ◎ 교원성과상여금</t>
  </si>
  <si>
    <t xml:space="preserve"> ◎ 직원성과상여금</t>
  </si>
  <si>
    <t>7.재단특별수당</t>
  </si>
  <si>
    <t>3.임시직</t>
  </si>
  <si>
    <t>4.부담금</t>
  </si>
  <si>
    <t>5.기타제수당</t>
  </si>
  <si>
    <t>비     교
증 △ 감</t>
  </si>
  <si>
    <t xml:space="preserve">  ㅇ 일반전화요금</t>
  </si>
  <si>
    <r>
      <t xml:space="preserve">  ㅇ 난방비</t>
    </r>
    <r>
      <rPr>
        <sz val="10"/>
        <rFont val="바탕"/>
        <family val="1"/>
      </rPr>
      <t>(12~5)</t>
    </r>
  </si>
  <si>
    <t xml:space="preserve">  ㅇ 유틸리티사용료</t>
  </si>
  <si>
    <t xml:space="preserve">  ㅇ 무인경비수수료</t>
  </si>
  <si>
    <t xml:space="preserve">  ㅇ 방역수수료 및 기타수수료</t>
  </si>
  <si>
    <t xml:space="preserve">  ㅇ 스쿨뱅킹수수료</t>
  </si>
  <si>
    <t xml:space="preserve">  ㅇ 정수기관리</t>
  </si>
  <si>
    <t>◎ 용역비</t>
  </si>
  <si>
    <t xml:space="preserve">  ㅇ 등하교차량용역비</t>
  </si>
  <si>
    <r>
      <t xml:space="preserve">  ㅇ 전산비품</t>
    </r>
    <r>
      <rPr>
        <sz val="10"/>
        <rFont val="바탕"/>
        <family val="1"/>
      </rPr>
      <t>(PC정비)</t>
    </r>
  </si>
  <si>
    <t xml:space="preserve">  ㅇ 사립유치원월례회비</t>
  </si>
  <si>
    <t xml:space="preserve">  ㅇ 유치원총연합회비</t>
  </si>
  <si>
    <t xml:space="preserve">  ㅇ 예술제 및 학예회</t>
  </si>
  <si>
    <r>
      <t xml:space="preserve">  ㅇ 특별행사</t>
    </r>
    <r>
      <rPr>
        <sz val="10"/>
        <rFont val="바탕"/>
        <family val="1"/>
      </rPr>
      <t>(참관수업)</t>
    </r>
  </si>
  <si>
    <t>◎ 예비비</t>
  </si>
  <si>
    <t>◎ 수용재료비</t>
  </si>
  <si>
    <t>3.녹화관리비</t>
  </si>
  <si>
    <t>◎ 화재보험료</t>
  </si>
  <si>
    <t>목   차</t>
  </si>
  <si>
    <t xml:space="preserve"> </t>
  </si>
  <si>
    <t>3. 세입·세출 예산총괄표</t>
  </si>
  <si>
    <t>4. 세입·세출 예산명세서</t>
  </si>
  <si>
    <t>1. 예산총칙</t>
  </si>
  <si>
    <t>세입·세출 차인잔액 없음</t>
  </si>
  <si>
    <t>세                입</t>
  </si>
  <si>
    <t>세                출</t>
  </si>
  <si>
    <t>제 1 조</t>
  </si>
  <si>
    <t xml:space="preserve">제 2 조 </t>
  </si>
  <si>
    <t xml:space="preserve">제 3 조 </t>
  </si>
  <si>
    <t>추경예산액</t>
  </si>
  <si>
    <t>기정예산액</t>
  </si>
  <si>
    <t>2.일반보조금(국가.시도)</t>
  </si>
  <si>
    <t xml:space="preserve"> ㅇ학교급식식재료구입지원비</t>
  </si>
  <si>
    <t xml:space="preserve"> ㅇ 현장체험학습비</t>
  </si>
  <si>
    <t xml:space="preserve">    나. 20년-25년</t>
  </si>
  <si>
    <t xml:space="preserve">    다. 15년-20년</t>
  </si>
  <si>
    <t xml:space="preserve">    나. 부양가족</t>
  </si>
  <si>
    <t xml:space="preserve">    나. 15년-20년</t>
  </si>
  <si>
    <r>
      <t xml:space="preserve"> </t>
    </r>
    <r>
      <rPr>
        <sz val="10"/>
        <rFont val="바탕"/>
        <family val="1"/>
      </rPr>
      <t xml:space="preserve"> - 식품비</t>
    </r>
  </si>
  <si>
    <r>
      <t xml:space="preserve"> </t>
    </r>
    <r>
      <rPr>
        <sz val="10"/>
        <rFont val="바탕"/>
        <family val="1"/>
      </rPr>
      <t xml:space="preserve"> - 간식비</t>
    </r>
  </si>
  <si>
    <t xml:space="preserve">예산확정일 </t>
  </si>
  <si>
    <t>예산액</t>
  </si>
  <si>
    <t xml:space="preserve">제 4 조 </t>
  </si>
  <si>
    <t>사학기관재무.회계규칙 제21조 제3항 및 제4항의 규정에 의하여 예산액의</t>
  </si>
  <si>
    <t xml:space="preserve">부족액이 있는 경우 항간 또는 목간 전용할 수 있으나, 다음 비목의 </t>
  </si>
  <si>
    <t>예산을 타비목에 전용할 수 없다.</t>
  </si>
  <si>
    <t>2. 시 설 비</t>
  </si>
  <si>
    <t>1. 봉     급</t>
  </si>
  <si>
    <t>3. 상환금.  다만, 원금과 이자는 상호 전용할 수 있다.</t>
  </si>
  <si>
    <t xml:space="preserve">제 5 조 </t>
  </si>
  <si>
    <t xml:space="preserve">회계연도 중에 용도가 지정되고 전액이 교부 또는 기탁된 경비와 </t>
  </si>
  <si>
    <t xml:space="preserve">학교운영위원회의 자문을 거친 수익자부담경비는 예산의 성립이전에 </t>
  </si>
  <si>
    <t xml:space="preserve">이를 사용할 수 있으며, 이는 동일 회계연도내의 차기 추가경정예산에 </t>
  </si>
  <si>
    <t>편성하지 못할 경우 이사회의 의결을 받은 것으로 간주처리 한다.</t>
  </si>
  <si>
    <t xml:space="preserve">계상하여야 한다.  다만, 목적지정 지원금이 교부된 이후 추가경정예산을 </t>
  </si>
  <si>
    <t>예산 총칙</t>
  </si>
  <si>
    <t>년</t>
  </si>
  <si>
    <t xml:space="preserve"> </t>
  </si>
  <si>
    <t>1. 방과후활동비</t>
  </si>
  <si>
    <t>2. 현장학습비</t>
  </si>
  <si>
    <t xml:space="preserve"> ㅇ법인카드포인트캐쉬백전환금수입</t>
  </si>
  <si>
    <t>3. 고용원수당</t>
  </si>
  <si>
    <t>5.공과보험료</t>
  </si>
  <si>
    <t>4.기타시설유지비</t>
  </si>
  <si>
    <t>◎ 기타시설유지비</t>
  </si>
  <si>
    <t>1.방과후활동비</t>
  </si>
  <si>
    <r>
      <t>2</t>
    </r>
    <r>
      <rPr>
        <sz val="10"/>
        <rFont val="바탕"/>
        <family val="1"/>
      </rPr>
      <t>.현장학습비</t>
    </r>
  </si>
  <si>
    <t>ㅇ 현장체험학습비</t>
  </si>
  <si>
    <t xml:space="preserve"> ㅇ방과후과정반간식비</t>
  </si>
  <si>
    <t xml:space="preserve"> ㅇ방과후과정반운영비</t>
  </si>
  <si>
    <r>
      <t>3</t>
    </r>
    <r>
      <rPr>
        <sz val="10"/>
        <rFont val="바탕"/>
        <family val="1"/>
      </rPr>
      <t>.고용원</t>
    </r>
    <r>
      <rPr>
        <sz val="10"/>
        <rFont val="바탕"/>
        <family val="1"/>
      </rPr>
      <t>봉급</t>
    </r>
  </si>
  <si>
    <t>◎ 고용원봉급</t>
  </si>
  <si>
    <t xml:space="preserve">    나. 교사(5년이상)</t>
  </si>
  <si>
    <t>◎ 고용원명절휴가보전금</t>
  </si>
  <si>
    <t>◎ 고용원연차수당</t>
  </si>
  <si>
    <t>◎ 고용원교통보조비</t>
  </si>
  <si>
    <t>◎ 고용원가족수당</t>
  </si>
  <si>
    <t>◎ 고용원시간외수당</t>
  </si>
  <si>
    <t>◎ 기간제교사성과상여</t>
  </si>
  <si>
    <t>6.비정규직부담금</t>
  </si>
  <si>
    <t>5.직원퇴직부담금</t>
  </si>
  <si>
    <t>◎ 직원퇴직부담금</t>
  </si>
  <si>
    <t xml:space="preserve"> ◎ 교원국민연금부담금</t>
  </si>
  <si>
    <t xml:space="preserve"> ◎ 직원국민연금부담금</t>
  </si>
  <si>
    <t xml:space="preserve"> ◎ 교원건강보험부담금</t>
  </si>
  <si>
    <t xml:space="preserve"> ◎ 교원노인요양보험부담금</t>
  </si>
  <si>
    <t xml:space="preserve"> ◎ 직원건강보험부담금</t>
  </si>
  <si>
    <t xml:space="preserve"> ◎ 직원노인요양보험부담금</t>
  </si>
  <si>
    <t xml:space="preserve"> ◎ 교원고용보험부담금</t>
  </si>
  <si>
    <t xml:space="preserve"> ◎ 직원고용보험부담금</t>
  </si>
  <si>
    <t xml:space="preserve"> ◎ 교원산재보험부담금</t>
  </si>
  <si>
    <t xml:space="preserve"> ◎ 직원산재보험부담금</t>
  </si>
  <si>
    <t xml:space="preserve"> ◎ 보조강사</t>
  </si>
  <si>
    <t xml:space="preserve"> ◎ 교원시간외수당</t>
  </si>
  <si>
    <t xml:space="preserve"> ◎ 교원정액시간외수당</t>
  </si>
  <si>
    <t>명</t>
  </si>
  <si>
    <t xml:space="preserve"> ◎ 교원직급보조비(원감)</t>
  </si>
  <si>
    <t>명</t>
  </si>
  <si>
    <t>월</t>
  </si>
  <si>
    <t xml:space="preserve"> ◎ 교원제철수당</t>
  </si>
  <si>
    <t xml:space="preserve"> ◎ 직원유.초자녀학비수당</t>
  </si>
  <si>
    <t xml:space="preserve"> ◎ 교원대학자녀학비보조수당</t>
  </si>
  <si>
    <t>회</t>
  </si>
  <si>
    <t>대</t>
  </si>
  <si>
    <r>
      <t xml:space="preserve">  ㅇ 전산비품</t>
    </r>
    <r>
      <rPr>
        <sz val="10"/>
        <rFont val="바탕"/>
        <family val="1"/>
      </rPr>
      <t>(N/W라인정비)</t>
    </r>
  </si>
  <si>
    <t>년</t>
  </si>
  <si>
    <r>
      <t xml:space="preserve">  ㅇ</t>
    </r>
    <r>
      <rPr>
        <sz val="10"/>
        <rFont val="바탕"/>
        <family val="1"/>
      </rPr>
      <t xml:space="preserve"> 전산용품</t>
    </r>
  </si>
  <si>
    <t xml:space="preserve"> </t>
  </si>
  <si>
    <t xml:space="preserve">  ㅇ 학교급식식재료구입비</t>
  </si>
  <si>
    <t>◎ 비전사업비</t>
  </si>
  <si>
    <t>년</t>
  </si>
  <si>
    <t xml:space="preserve"> ㅇ 방과후교육활동교육비</t>
  </si>
  <si>
    <t xml:space="preserve"> ㅇ 방과후교육활동운영비</t>
  </si>
  <si>
    <t xml:space="preserve"> ㅇ방과후과정반부담금</t>
  </si>
  <si>
    <t>◎ 차량운영비</t>
  </si>
  <si>
    <t xml:space="preserve">  ㅇ 자동차세</t>
  </si>
  <si>
    <t xml:space="preserve">  ㅇ 자동차보험료</t>
  </si>
  <si>
    <t>월</t>
  </si>
  <si>
    <t xml:space="preserve">  ㅇ 차량운영비</t>
  </si>
  <si>
    <t>년</t>
  </si>
  <si>
    <r>
      <t xml:space="preserve">  ㅇ환경</t>
    </r>
    <r>
      <rPr>
        <sz val="10"/>
        <rFont val="바탕"/>
        <family val="1"/>
      </rPr>
      <t>직용역비</t>
    </r>
  </si>
  <si>
    <r>
      <t xml:space="preserve">  ㅇ 특별회의비</t>
    </r>
    <r>
      <rPr>
        <sz val="10"/>
        <rFont val="바탕"/>
        <family val="1"/>
      </rPr>
      <t>(운영위원)</t>
    </r>
  </si>
  <si>
    <t>학교비 1차 추가경정 세입·세출예산 총괄표</t>
  </si>
  <si>
    <r>
      <t xml:space="preserve">ㅇ </t>
    </r>
    <r>
      <rPr>
        <sz val="10"/>
        <rFont val="바탕"/>
        <family val="1"/>
      </rPr>
      <t xml:space="preserve"> 수업료</t>
    </r>
  </si>
  <si>
    <t>2.기타잡수입</t>
  </si>
  <si>
    <t xml:space="preserve"> ㅇ시설물사용료수입</t>
  </si>
  <si>
    <t>8.교원연구비</t>
  </si>
  <si>
    <t xml:space="preserve"> ◎ 교원연구비</t>
  </si>
  <si>
    <t xml:space="preserve">    다. 교사(5년이상)</t>
  </si>
  <si>
    <t xml:space="preserve">    라. 교사(5년미만)</t>
  </si>
  <si>
    <t>◎ 고용원장기근무가산금</t>
  </si>
  <si>
    <t>◎ 기간제교사기타수당</t>
  </si>
  <si>
    <t xml:space="preserve">  ㅇ 모바일홈페이지</t>
  </si>
  <si>
    <t>◎ 여비</t>
  </si>
  <si>
    <r>
      <t xml:space="preserve"> </t>
    </r>
    <r>
      <rPr>
        <sz val="10"/>
        <rFont val="바탕"/>
        <family val="1"/>
      </rPr>
      <t xml:space="preserve"> o  전자교환기유지보수</t>
    </r>
  </si>
  <si>
    <t>원</t>
  </si>
  <si>
    <t>◎ 임차료</t>
  </si>
  <si>
    <t>대</t>
  </si>
  <si>
    <t>예산 구분 : 추경1회</t>
  </si>
  <si>
    <t>년</t>
  </si>
  <si>
    <r>
      <t xml:space="preserve">  ㅇ 난방비</t>
    </r>
    <r>
      <rPr>
        <sz val="10"/>
        <rFont val="바탕"/>
        <family val="1"/>
      </rPr>
      <t>(6~11)</t>
    </r>
  </si>
  <si>
    <t>원</t>
  </si>
  <si>
    <t>=</t>
  </si>
  <si>
    <t xml:space="preserve">  ㅇ 차량유류비</t>
  </si>
  <si>
    <t>년</t>
  </si>
  <si>
    <t xml:space="preserve">  ㅇ 복사기 임차료</t>
  </si>
  <si>
    <t xml:space="preserve">  ㅇ 칼라프린터임차료</t>
  </si>
  <si>
    <t>식</t>
  </si>
  <si>
    <t xml:space="preserve">  o  비품 구입</t>
  </si>
  <si>
    <t xml:space="preserve">  o  부외물품 구입</t>
  </si>
  <si>
    <t xml:space="preserve"> ㅇ방과후과정반퇴직부담금</t>
  </si>
  <si>
    <t>월</t>
  </si>
  <si>
    <t>광양제철유치원 학교비 1차 추가경정 예산서</t>
  </si>
  <si>
    <t>◎ 학교안전공제회비</t>
  </si>
  <si>
    <t>원</t>
  </si>
  <si>
    <t xml:space="preserve">                  광  양  제  철  유  치  원</t>
  </si>
  <si>
    <t>예  산  총  괄  표</t>
  </si>
  <si>
    <r>
      <t>(</t>
    </r>
    <r>
      <rPr>
        <sz val="11"/>
        <rFont val="굴림"/>
        <family val="3"/>
      </rPr>
      <t>금액단위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천원</t>
    </r>
    <r>
      <rPr>
        <sz val="11"/>
        <rFont val="Arial"/>
        <family val="2"/>
      </rPr>
      <t>)</t>
    </r>
  </si>
  <si>
    <t>세  입  예  산</t>
  </si>
  <si>
    <t>세  출  예  산</t>
  </si>
  <si>
    <r>
      <rPr>
        <b/>
        <sz val="11"/>
        <rFont val="돋움"/>
        <family val="3"/>
      </rPr>
      <t>관</t>
    </r>
    <r>
      <rPr>
        <b/>
        <sz val="11"/>
        <rFont val="Arial"/>
        <family val="2"/>
      </rPr>
      <t xml:space="preserve">  </t>
    </r>
    <r>
      <rPr>
        <b/>
        <sz val="11"/>
        <rFont val="돋움"/>
        <family val="3"/>
      </rPr>
      <t>별</t>
    </r>
  </si>
  <si>
    <t>비교증감</t>
  </si>
  <si>
    <t>구성비(%)</t>
  </si>
  <si>
    <r>
      <t>사용료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및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수수료</t>
    </r>
  </si>
  <si>
    <r>
      <t>인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건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</si>
  <si>
    <r>
      <t>전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입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금</t>
    </r>
  </si>
  <si>
    <r>
      <t>관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리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영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비</t>
    </r>
  </si>
  <si>
    <r>
      <t>원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금</t>
    </r>
  </si>
  <si>
    <r>
      <t>이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월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금</t>
    </r>
  </si>
  <si>
    <r>
      <t>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육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비</t>
    </r>
  </si>
  <si>
    <t>학교운영지원비</t>
  </si>
  <si>
    <r>
      <t>예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</si>
  <si>
    <r>
      <t>잡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수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입</t>
    </r>
  </si>
  <si>
    <r>
      <t>합</t>
    </r>
    <r>
      <rPr>
        <b/>
        <sz val="11"/>
        <rFont val="Arial"/>
        <family val="2"/>
      </rPr>
      <t xml:space="preserve">             </t>
    </r>
    <r>
      <rPr>
        <b/>
        <sz val="11"/>
        <rFont val="굴림"/>
        <family val="3"/>
      </rPr>
      <t>계</t>
    </r>
  </si>
  <si>
    <r>
      <t>합</t>
    </r>
    <r>
      <rPr>
        <b/>
        <sz val="11"/>
        <rFont val="Arial"/>
        <family val="2"/>
      </rPr>
      <t xml:space="preserve">             </t>
    </r>
    <r>
      <rPr>
        <b/>
        <sz val="11"/>
        <rFont val="굴림"/>
        <family val="3"/>
      </rPr>
      <t>계</t>
    </r>
    <r>
      <rPr>
        <b/>
        <sz val="11"/>
        <rFont val="Arial"/>
        <family val="2"/>
      </rPr>
      <t xml:space="preserve"> </t>
    </r>
  </si>
  <si>
    <t>추경예산액</t>
  </si>
  <si>
    <t>기정예산액</t>
  </si>
  <si>
    <t>(금액단위 : 천원)</t>
  </si>
  <si>
    <t>유치원명 : 광양제철유치원</t>
  </si>
  <si>
    <r>
      <t>(금액단위</t>
    </r>
    <r>
      <rPr>
        <sz val="10"/>
        <rFont val="바탕"/>
        <family val="1"/>
      </rPr>
      <t>:천원)</t>
    </r>
  </si>
  <si>
    <t xml:space="preserve"> ㅇ 유아학비(누리과정)지원금</t>
  </si>
  <si>
    <t xml:space="preserve">  ㅇ 영선직용역비</t>
  </si>
  <si>
    <t xml:space="preserve">  ㅇ 기타행사비(체육행사)</t>
  </si>
  <si>
    <t xml:space="preserve">  ㅇ 시 교육경비 지원사업</t>
  </si>
  <si>
    <t xml:space="preserve"> ㅇ방과후과정반 강사료</t>
  </si>
  <si>
    <t xml:space="preserve"> ㅇ방과후과정반 수업보조강사료</t>
  </si>
  <si>
    <t>명</t>
  </si>
  <si>
    <t xml:space="preserve">  ㅇ 제세공과금</t>
  </si>
  <si>
    <t xml:space="preserve">  ㅇ 국내여비</t>
  </si>
  <si>
    <t xml:space="preserve">  ㅇ 현장체험학습여비</t>
  </si>
  <si>
    <t>회</t>
  </si>
  <si>
    <t>년</t>
  </si>
  <si>
    <t xml:space="preserve">  ㅇ 전교원상담교원화</t>
  </si>
  <si>
    <t>원</t>
  </si>
  <si>
    <t xml:space="preserve">  ㅇ 학부모참여학습경비</t>
  </si>
  <si>
    <t xml:space="preserve">  ㅇ 방과후과정반지원금</t>
  </si>
  <si>
    <t>원</t>
  </si>
  <si>
    <t>명</t>
  </si>
  <si>
    <t>회</t>
  </si>
  <si>
    <t xml:space="preserve"> ㅇ유아학비(방과후과정반)지원금</t>
  </si>
  <si>
    <t>일</t>
  </si>
  <si>
    <t>2017학년도</t>
  </si>
  <si>
    <t>2. 2017학년도 학교비 세입·세출 1차 추가경정예산 총액</t>
  </si>
  <si>
    <t xml:space="preserve">    2017학년도</t>
  </si>
  <si>
    <t>일금   1,468,107,000원</t>
  </si>
  <si>
    <t>2018. 02. 06.</t>
  </si>
  <si>
    <t>2017학년도 광양제철치원회계 세입·세출예산 총액 1,343,553,000원을</t>
  </si>
  <si>
    <t>1,468,107,000원으로 한다.</t>
  </si>
  <si>
    <t>2017학년도 명시이월사업은 해당사항 없다.</t>
  </si>
  <si>
    <t>2017학년도 계속비 사업은 해당사항 없다.</t>
  </si>
  <si>
    <t xml:space="preserve">2017학년도 1차 추가경정 세입 예산서 </t>
  </si>
  <si>
    <t xml:space="preserve">2017학년도 1차 추가경정 세출 예산서 </t>
  </si>
  <si>
    <r>
      <t>100</t>
    </r>
    <r>
      <rPr>
        <sz val="10"/>
        <rFont val="바탕"/>
        <family val="1"/>
      </rPr>
      <t xml:space="preserve">,000원 × </t>
    </r>
    <r>
      <rPr>
        <sz val="10"/>
        <rFont val="바탕"/>
        <family val="1"/>
      </rPr>
      <t>100</t>
    </r>
    <r>
      <rPr>
        <sz val="10"/>
        <rFont val="바탕"/>
        <family val="1"/>
      </rPr>
      <t>명</t>
    </r>
  </si>
  <si>
    <r>
      <t>72,800</t>
    </r>
    <r>
      <rPr>
        <sz val="10"/>
        <rFont val="바탕"/>
        <family val="1"/>
      </rPr>
      <t xml:space="preserve">원 × </t>
    </r>
    <r>
      <rPr>
        <sz val="10"/>
        <rFont val="바탕"/>
        <family val="1"/>
      </rPr>
      <t>173.5</t>
    </r>
    <r>
      <rPr>
        <sz val="10"/>
        <rFont val="바탕"/>
        <family val="1"/>
      </rPr>
      <t>명</t>
    </r>
    <r>
      <rPr>
        <sz val="10"/>
        <rFont val="바탕"/>
        <family val="1"/>
      </rPr>
      <t xml:space="preserve"> </t>
    </r>
    <r>
      <rPr>
        <sz val="10"/>
        <rFont val="바탕"/>
        <family val="1"/>
      </rPr>
      <t>×</t>
    </r>
    <r>
      <rPr>
        <sz val="10"/>
        <rFont val="바탕"/>
        <family val="1"/>
      </rPr>
      <t xml:space="preserve"> 12회</t>
    </r>
  </si>
  <si>
    <t xml:space="preserve"> ㅇ 사립유치원운영비</t>
  </si>
  <si>
    <t xml:space="preserve"> ㅇ장애유아무상교육비</t>
  </si>
  <si>
    <t xml:space="preserve"> ㅇ교육과정우수유치원시상금</t>
  </si>
  <si>
    <t xml:space="preserve"> ㅇ방과후과정운영비</t>
  </si>
  <si>
    <r>
      <rPr>
        <sz val="10"/>
        <rFont val="바탕"/>
        <family val="1"/>
      </rPr>
      <t>=</t>
    </r>
  </si>
  <si>
    <t>ㅇ차량비지원비</t>
  </si>
  <si>
    <t xml:space="preserve"> ㅇ광양시교육경비지원사업비(창의력교구)</t>
  </si>
  <si>
    <t>1,950원  × 174명 × 230일</t>
  </si>
  <si>
    <t>ㅇ 방과후교육비     70,000원 × 170명× 11월</t>
  </si>
  <si>
    <t xml:space="preserve"> 7,480원 × 174명 × 8회</t>
  </si>
  <si>
    <t xml:space="preserve">      - 원  아                          1,000원 × 169명 × 210일</t>
  </si>
  <si>
    <t xml:space="preserve">      - 교직원                         3,500원 × 10명 × 210일</t>
  </si>
  <si>
    <t xml:space="preserve"> ㅇ 기타일반교재비               10,000원 ×  173.5명 × 12월</t>
  </si>
  <si>
    <t xml:space="preserve"> ㅇ 방과후과정반운영비          85,000원 ×  130.5명 × 12월</t>
  </si>
  <si>
    <t xml:space="preserve"> ㅇ기타 잡수입</t>
  </si>
  <si>
    <t>◎ 고용원정액급식비</t>
  </si>
  <si>
    <t>◎ 고용원성과상여금</t>
  </si>
  <si>
    <t xml:space="preserve"> ◎ 보건강사</t>
  </si>
  <si>
    <t xml:space="preserve"> ◎ 교원고등학교자녀학비수당</t>
  </si>
  <si>
    <t xml:space="preserve">  ㅇ 방과후과정 운영비</t>
  </si>
  <si>
    <t xml:space="preserve">  ㅇ 장애유아무상교육비</t>
  </si>
  <si>
    <t xml:space="preserve">  ㅇ 우수유치원시상금</t>
  </si>
  <si>
    <t xml:space="preserve"> ㅇ방과후과정반 급여</t>
  </si>
  <si>
    <t xml:space="preserve"> ㅇ방과후과정반 교재비</t>
  </si>
  <si>
    <t>일</t>
  </si>
  <si>
    <t>2.관리운영비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</si>
</sst>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&quot; 월&quot;"/>
    <numFmt numFmtId="178" formatCode="0.0%"/>
    <numFmt numFmtId="179" formatCode="#,##0.0_ "/>
    <numFmt numFmtId="180" formatCode="0_ "/>
    <numFmt numFmtId="181" formatCode="yy&quot;/&quot;m&quot;/&quot;d"/>
    <numFmt numFmtId="182" formatCode="yyyy&quot;/&quot;m&quot;/&quot;d"/>
    <numFmt numFmtId="183" formatCode="yyyy&quot;년&quot;\ m&quot;월&quot;\ d&quot;일&quot;"/>
    <numFmt numFmtId="184" formatCode="yy&quot;년&quot;\ m&quot;월&quot;\ d&quot;일&quot;"/>
    <numFmt numFmtId="185" formatCode="#,##0_ "/>
    <numFmt numFmtId="186" formatCode="&quot;@&quot;#,##0"/>
    <numFmt numFmtId="187" formatCode="mm&quot;월&quot;\ dd&quot;일&quot;"/>
    <numFmt numFmtId="188" formatCode="yyyy/mm/dd&quot;현재&quot;"/>
    <numFmt numFmtId="189" formatCode="yyyy/mm/dd&quot; 현재&quot;"/>
    <numFmt numFmtId="190" formatCode="#,##0,;[Red]&quot;△&quot;#,##0,"/>
    <numFmt numFmtId="191" formatCode="#,##0;&quot;△&quot;#,##0"/>
    <numFmt numFmtId="192" formatCode="_-* #,##0;&quot;△&quot;* #,##0;_-* &quot;-&quot;_-;_-@_-"/>
    <numFmt numFmtId="193" formatCode="#,##0;&quot;△&quot;\ #,##0;@\-"/>
    <numFmt numFmtId="194" formatCode="0.0_);[Red]\(0.0\)"/>
    <numFmt numFmtId="195" formatCode="#,##0.0"/>
    <numFmt numFmtId="196" formatCode="#,##0.0;&quot;△&quot;#,##0.0"/>
    <numFmt numFmtId="197" formatCode="0.0_ "/>
    <numFmt numFmtId="198" formatCode="#,##0.000"/>
    <numFmt numFmtId="199" formatCode="#,##0.00;&quot;△&quot;#,##0.00"/>
    <numFmt numFmtId="200" formatCode="#,##0.000;&quot;△&quot;#,##0.000"/>
    <numFmt numFmtId="201" formatCode="#,##0.0;[Red]&quot;△&quot;#,##0.0"/>
    <numFmt numFmtId="202" formatCode="#,##0.00;[Red]&quot;△&quot;#,##0.00"/>
    <numFmt numFmtId="203" formatCode="#,##0.000;[Red]&quot;△&quot;#,##0.000"/>
    <numFmt numFmtId="204" formatCode="0.000%"/>
    <numFmt numFmtId="205" formatCode="0.0000%"/>
    <numFmt numFmtId="206" formatCode="0;[Red]0"/>
    <numFmt numFmtId="207" formatCode="000\-000"/>
    <numFmt numFmtId="208" formatCode="#,##0.0000;[Red]&quot;△&quot;#,##0.0000"/>
    <numFmt numFmtId="209" formatCode="#,##0.00000;[Red]&quot;△&quot;#,##0.00000"/>
    <numFmt numFmtId="210" formatCode="#,##0.000000;[Red]&quot;△&quot;#,##0.000000"/>
    <numFmt numFmtId="211" formatCode="#,##0.0000000;[Red]&quot;△&quot;#,##0.0000000"/>
    <numFmt numFmtId="212" formatCode="#,##0.00000000;[Red]&quot;△&quot;#,##0.00000000"/>
    <numFmt numFmtId="213" formatCode="_ * #,##0_ ;_ * \-#,##0_ ;_ * &quot;-&quot;_ ;_ @_ "/>
    <numFmt numFmtId="214" formatCode="_ * #,##0.00_ ;_ * \-#,##0.00_ ;_ * &quot;-&quot;??_ ;_ @_ "/>
    <numFmt numFmtId="215" formatCode="[$-412]yyyy&quot;년&quot;\ m&quot;월&quot;\ d&quot;일&quot;\ dddd"/>
    <numFmt numFmtId="216" formatCode="[$-412]AM/PM\ h:mm:ss"/>
  </numFmts>
  <fonts count="85">
    <font>
      <sz val="10"/>
      <name val="바탕"/>
      <family val="1"/>
    </font>
    <font>
      <sz val="8"/>
      <name val="바탕"/>
      <family val="1"/>
    </font>
    <font>
      <sz val="11"/>
      <name val="굴림"/>
      <family val="3"/>
    </font>
    <font>
      <b/>
      <sz val="20"/>
      <name val="굴림"/>
      <family val="3"/>
    </font>
    <font>
      <u val="single"/>
      <sz val="10"/>
      <color indexed="12"/>
      <name val="바탕"/>
      <family val="1"/>
    </font>
    <font>
      <u val="single"/>
      <sz val="10"/>
      <color indexed="36"/>
      <name val="바탕"/>
      <family val="1"/>
    </font>
    <font>
      <sz val="8"/>
      <name val="돋움"/>
      <family val="3"/>
    </font>
    <font>
      <b/>
      <sz val="10"/>
      <name val="바탕"/>
      <family val="1"/>
    </font>
    <font>
      <sz val="11"/>
      <name val="돋움"/>
      <family val="3"/>
    </font>
    <font>
      <sz val="12"/>
      <name val="바탕체"/>
      <family val="1"/>
    </font>
    <font>
      <b/>
      <sz val="22"/>
      <name val="굴림"/>
      <family val="3"/>
    </font>
    <font>
      <b/>
      <sz val="24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11"/>
      <name val="Arial"/>
      <family val="2"/>
    </font>
    <font>
      <b/>
      <sz val="13"/>
      <name val="Arial"/>
      <family val="2"/>
    </font>
    <font>
      <b/>
      <sz val="25"/>
      <name val="굴림"/>
      <family val="3"/>
    </font>
    <font>
      <b/>
      <sz val="11"/>
      <name val="굴림"/>
      <family val="3"/>
    </font>
    <font>
      <b/>
      <sz val="11"/>
      <name val="Arial"/>
      <family val="2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맑은 고딕"/>
      <family val="3"/>
    </font>
    <font>
      <b/>
      <u val="single"/>
      <sz val="16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b/>
      <sz val="20"/>
      <name val="맑은 고딕"/>
      <family val="3"/>
    </font>
    <font>
      <b/>
      <sz val="24"/>
      <name val="맑은 고딕"/>
      <family val="3"/>
    </font>
    <font>
      <b/>
      <sz val="22"/>
      <name val="맑은 고딕"/>
      <family val="3"/>
    </font>
    <font>
      <sz val="14"/>
      <name val="맑은 고딕"/>
      <family val="3"/>
    </font>
    <font>
      <sz val="13"/>
      <name val="맑은 고딕"/>
      <family val="3"/>
    </font>
    <font>
      <b/>
      <sz val="10"/>
      <name val="맑은 고딕"/>
      <family val="3"/>
    </font>
    <font>
      <b/>
      <sz val="13"/>
      <name val="맑은 고딕"/>
      <family val="3"/>
    </font>
    <font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name val="Cambria"/>
      <family val="3"/>
    </font>
    <font>
      <b/>
      <u val="single"/>
      <sz val="16"/>
      <name val="Cambria"/>
      <family val="3"/>
    </font>
    <font>
      <sz val="11"/>
      <name val="Cambria"/>
      <family val="3"/>
    </font>
    <font>
      <b/>
      <sz val="16"/>
      <name val="Cambria"/>
      <family val="3"/>
    </font>
    <font>
      <b/>
      <sz val="20"/>
      <name val="Cambria"/>
      <family val="3"/>
    </font>
    <font>
      <b/>
      <sz val="24"/>
      <name val="Cambria"/>
      <family val="3"/>
    </font>
    <font>
      <b/>
      <sz val="22"/>
      <name val="Cambria"/>
      <family val="3"/>
    </font>
    <font>
      <sz val="14"/>
      <name val="Calibri"/>
      <family val="3"/>
    </font>
    <font>
      <sz val="11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sz val="13"/>
      <name val="Calibri"/>
      <family val="3"/>
    </font>
    <font>
      <b/>
      <sz val="10"/>
      <name val="Cambria"/>
      <family val="3"/>
    </font>
    <font>
      <b/>
      <sz val="13"/>
      <name val="Calibri"/>
      <family val="3"/>
    </font>
    <font>
      <sz val="18"/>
      <name val="Calibri"/>
      <family val="3"/>
    </font>
    <font>
      <b/>
      <sz val="18"/>
      <name val="Calibri"/>
      <family val="3"/>
    </font>
    <font>
      <b/>
      <sz val="8"/>
      <name val="바탕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213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191" fontId="0" fillId="0" borderId="0" xfId="68" applyNumberFormat="1" applyFont="1" applyAlignment="1">
      <alignment horizontal="center" vertical="center"/>
      <protection/>
    </xf>
    <xf numFmtId="191" fontId="0" fillId="0" borderId="0" xfId="68" applyNumberFormat="1" applyFont="1" applyAlignment="1">
      <alignment vertical="center"/>
      <protection/>
    </xf>
    <xf numFmtId="191" fontId="7" fillId="0" borderId="0" xfId="68" applyNumberFormat="1" applyFont="1" applyAlignment="1">
      <alignment horizontal="left" vertical="center"/>
      <protection/>
    </xf>
    <xf numFmtId="191" fontId="7" fillId="0" borderId="0" xfId="68" applyNumberFormat="1" applyFont="1" applyAlignment="1">
      <alignment horizontal="center" vertical="center"/>
      <protection/>
    </xf>
    <xf numFmtId="191" fontId="7" fillId="0" borderId="0" xfId="68" applyNumberFormat="1" applyFont="1" applyAlignment="1">
      <alignment horizontal="center" vertical="center" shrinkToFit="1"/>
      <protection/>
    </xf>
    <xf numFmtId="191" fontId="0" fillId="0" borderId="10" xfId="68" applyNumberFormat="1" applyFont="1" applyBorder="1" applyAlignment="1">
      <alignment horizontal="center" vertical="center"/>
      <protection/>
    </xf>
    <xf numFmtId="191" fontId="0" fillId="0" borderId="11" xfId="68" applyNumberFormat="1" applyFont="1" applyBorder="1" applyAlignment="1">
      <alignment horizontal="center" vertical="center"/>
      <protection/>
    </xf>
    <xf numFmtId="191" fontId="0" fillId="0" borderId="12" xfId="68" applyNumberFormat="1" applyFont="1" applyBorder="1" applyAlignment="1">
      <alignment vertical="center"/>
      <protection/>
    </xf>
    <xf numFmtId="191" fontId="0" fillId="0" borderId="13" xfId="68" applyNumberFormat="1" applyFont="1" applyBorder="1" applyAlignment="1">
      <alignment vertical="center"/>
      <protection/>
    </xf>
    <xf numFmtId="191" fontId="0" fillId="0" borderId="14" xfId="68" applyNumberFormat="1" applyFont="1" applyBorder="1" applyAlignment="1">
      <alignment vertical="center"/>
      <protection/>
    </xf>
    <xf numFmtId="191" fontId="0" fillId="0" borderId="15" xfId="68" applyNumberFormat="1" applyFont="1" applyBorder="1" applyAlignment="1">
      <alignment vertical="center"/>
      <protection/>
    </xf>
    <xf numFmtId="191" fontId="0" fillId="0" borderId="15" xfId="68" applyNumberFormat="1" applyFont="1" applyBorder="1" applyAlignment="1">
      <alignment vertical="center" wrapText="1"/>
      <protection/>
    </xf>
    <xf numFmtId="191" fontId="0" fillId="0" borderId="16" xfId="68" applyNumberFormat="1" applyFont="1" applyBorder="1" applyAlignment="1">
      <alignment vertical="center"/>
      <protection/>
    </xf>
    <xf numFmtId="191" fontId="0" fillId="0" borderId="17" xfId="68" applyNumberFormat="1" applyFont="1" applyBorder="1" applyAlignment="1">
      <alignment vertical="center"/>
      <protection/>
    </xf>
    <xf numFmtId="191" fontId="0" fillId="0" borderId="18" xfId="68" applyNumberFormat="1" applyFont="1" applyBorder="1" applyAlignment="1">
      <alignment vertical="center" shrinkToFit="1"/>
      <protection/>
    </xf>
    <xf numFmtId="191" fontId="0" fillId="0" borderId="19" xfId="68" applyNumberFormat="1" applyFont="1" applyBorder="1" applyAlignment="1">
      <alignment vertical="center"/>
      <protection/>
    </xf>
    <xf numFmtId="191" fontId="0" fillId="0" borderId="19" xfId="68" applyNumberFormat="1" applyFont="1" applyBorder="1" applyAlignment="1">
      <alignment vertical="center" wrapText="1"/>
      <protection/>
    </xf>
    <xf numFmtId="191" fontId="0" fillId="0" borderId="2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 quotePrefix="1">
      <alignment vertical="center"/>
      <protection/>
    </xf>
    <xf numFmtId="191" fontId="0" fillId="0" borderId="21" xfId="68" applyNumberFormat="1" applyFont="1" applyBorder="1" applyAlignment="1">
      <alignment vertical="center" shrinkToFit="1"/>
      <protection/>
    </xf>
    <xf numFmtId="191" fontId="0" fillId="0" borderId="22" xfId="68" applyNumberFormat="1" applyFont="1" applyBorder="1" applyAlignment="1">
      <alignment vertical="center"/>
      <protection/>
    </xf>
    <xf numFmtId="191" fontId="0" fillId="0" borderId="23" xfId="68" applyNumberFormat="1" applyFont="1" applyBorder="1" applyAlignment="1">
      <alignment vertical="center"/>
      <protection/>
    </xf>
    <xf numFmtId="191" fontId="0" fillId="0" borderId="24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vertical="center"/>
      <protection/>
    </xf>
    <xf numFmtId="191" fontId="0" fillId="0" borderId="0" xfId="68" applyNumberFormat="1" applyFont="1" applyAlignment="1">
      <alignment vertical="center" shrinkToFit="1"/>
      <protection/>
    </xf>
    <xf numFmtId="191" fontId="7" fillId="0" borderId="0" xfId="68" applyNumberFormat="1" applyFont="1" applyAlignment="1">
      <alignment vertical="center"/>
      <protection/>
    </xf>
    <xf numFmtId="3" fontId="0" fillId="0" borderId="0" xfId="68" applyNumberFormat="1" applyFont="1" applyBorder="1" applyAlignment="1">
      <alignment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vertical="center"/>
      <protection/>
    </xf>
    <xf numFmtId="191" fontId="0" fillId="0" borderId="17" xfId="68" applyNumberFormat="1" applyFont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horizontal="left" vertical="center"/>
      <protection/>
    </xf>
    <xf numFmtId="191" fontId="0" fillId="0" borderId="25" xfId="68" applyNumberFormat="1" applyFont="1" applyBorder="1" applyAlignment="1">
      <alignment vertical="center"/>
      <protection/>
    </xf>
    <xf numFmtId="191" fontId="0" fillId="0" borderId="26" xfId="68" applyNumberFormat="1" applyFont="1" applyBorder="1" applyAlignment="1">
      <alignment vertical="center"/>
      <protection/>
    </xf>
    <xf numFmtId="191" fontId="0" fillId="0" borderId="27" xfId="68" applyNumberFormat="1" applyFont="1" applyBorder="1" applyAlignment="1">
      <alignment horizontal="center" vertical="center"/>
      <protection/>
    </xf>
    <xf numFmtId="191" fontId="0" fillId="0" borderId="16" xfId="68" applyNumberFormat="1" applyFont="1" applyBorder="1" applyAlignment="1">
      <alignment vertical="center" wrapText="1"/>
      <protection/>
    </xf>
    <xf numFmtId="191" fontId="0" fillId="0" borderId="20" xfId="68" applyNumberFormat="1" applyFont="1" applyBorder="1" applyAlignment="1">
      <alignment vertical="center" wrapText="1"/>
      <protection/>
    </xf>
    <xf numFmtId="191" fontId="0" fillId="0" borderId="17" xfId="68" applyNumberFormat="1" applyFont="1" applyBorder="1" applyAlignment="1">
      <alignment vertical="center" shrinkToFit="1"/>
      <protection/>
    </xf>
    <xf numFmtId="191" fontId="7" fillId="0" borderId="0" xfId="68" applyNumberFormat="1" applyFont="1" applyBorder="1" applyAlignment="1">
      <alignment vertical="center" shrinkToFit="1"/>
      <protection/>
    </xf>
    <xf numFmtId="191" fontId="0" fillId="0" borderId="28" xfId="68" applyNumberFormat="1" applyFont="1" applyBorder="1" applyAlignment="1">
      <alignment vertical="center"/>
      <protection/>
    </xf>
    <xf numFmtId="191" fontId="0" fillId="0" borderId="29" xfId="68" applyNumberFormat="1" applyFont="1" applyBorder="1" applyAlignment="1">
      <alignment vertical="center"/>
      <protection/>
    </xf>
    <xf numFmtId="191" fontId="0" fillId="0" borderId="30" xfId="68" applyNumberFormat="1" applyFont="1" applyBorder="1" applyAlignment="1">
      <alignment vertical="center"/>
      <protection/>
    </xf>
    <xf numFmtId="191" fontId="0" fillId="0" borderId="0" xfId="68" applyNumberFormat="1" applyFont="1" applyAlignment="1">
      <alignment horizontal="left" vertical="center"/>
      <protection/>
    </xf>
    <xf numFmtId="0" fontId="0" fillId="0" borderId="0" xfId="68" applyFont="1" applyBorder="1" applyAlignment="1">
      <alignment horizontal="left" vertical="center"/>
      <protection/>
    </xf>
    <xf numFmtId="191" fontId="0" fillId="0" borderId="20" xfId="68" applyNumberFormat="1" applyFont="1" applyBorder="1" applyAlignment="1">
      <alignment horizontal="right" vertical="center"/>
      <protection/>
    </xf>
    <xf numFmtId="191" fontId="0" fillId="0" borderId="0" xfId="68" applyNumberFormat="1" applyFont="1" applyBorder="1" applyAlignment="1" quotePrefix="1">
      <alignment vertical="center"/>
      <protection/>
    </xf>
    <xf numFmtId="191" fontId="0" fillId="0" borderId="31" xfId="68" applyNumberFormat="1" applyFont="1" applyBorder="1" applyAlignment="1">
      <alignment vertical="center"/>
      <protection/>
    </xf>
    <xf numFmtId="191" fontId="7" fillId="0" borderId="32" xfId="68" applyNumberFormat="1" applyFont="1" applyBorder="1" applyAlignment="1">
      <alignment horizontal="center" vertical="center"/>
      <protection/>
    </xf>
    <xf numFmtId="191" fontId="7" fillId="0" borderId="33" xfId="68" applyNumberFormat="1" applyFont="1" applyBorder="1" applyAlignment="1">
      <alignment vertical="center" shrinkToFit="1"/>
      <protection/>
    </xf>
    <xf numFmtId="191" fontId="0" fillId="0" borderId="14" xfId="68" applyNumberFormat="1" applyFont="1" applyBorder="1" applyAlignment="1">
      <alignment vertical="center"/>
      <protection/>
    </xf>
    <xf numFmtId="191" fontId="0" fillId="0" borderId="19" xfId="68" applyNumberFormat="1" applyFont="1" applyBorder="1" applyAlignment="1">
      <alignment vertical="center"/>
      <protection/>
    </xf>
    <xf numFmtId="191" fontId="0" fillId="0" borderId="30" xfId="68" applyNumberFormat="1" applyFont="1" applyBorder="1" applyAlignment="1">
      <alignment vertical="center"/>
      <protection/>
    </xf>
    <xf numFmtId="191" fontId="0" fillId="0" borderId="0" xfId="68" applyNumberFormat="1" applyFont="1" applyAlignment="1">
      <alignment vertical="center"/>
      <protection/>
    </xf>
    <xf numFmtId="191" fontId="0" fillId="33" borderId="0" xfId="68" applyNumberFormat="1" applyFont="1" applyFill="1" applyAlignment="1">
      <alignment horizontal="center" vertical="center" shrinkToFit="1"/>
      <protection/>
    </xf>
    <xf numFmtId="191" fontId="0" fillId="33" borderId="18" xfId="68" applyNumberFormat="1" applyFont="1" applyFill="1" applyBorder="1" applyAlignment="1">
      <alignment vertical="center" shrinkToFit="1"/>
      <protection/>
    </xf>
    <xf numFmtId="191" fontId="7" fillId="33" borderId="21" xfId="68" applyNumberFormat="1" applyFont="1" applyFill="1" applyBorder="1" applyAlignment="1">
      <alignment vertical="center" shrinkToFit="1"/>
      <protection/>
    </xf>
    <xf numFmtId="3" fontId="0" fillId="33" borderId="21" xfId="68" applyNumberFormat="1" applyFont="1" applyFill="1" applyBorder="1" applyAlignment="1">
      <alignment vertical="center"/>
      <protection/>
    </xf>
    <xf numFmtId="191" fontId="0" fillId="33" borderId="0" xfId="68" applyNumberFormat="1" applyFont="1" applyFill="1" applyAlignment="1">
      <alignment vertical="center" shrinkToFit="1"/>
      <protection/>
    </xf>
    <xf numFmtId="191" fontId="7" fillId="0" borderId="27" xfId="68" applyNumberFormat="1" applyFont="1" applyBorder="1" applyAlignment="1">
      <alignment horizontal="center" vertical="center"/>
      <protection/>
    </xf>
    <xf numFmtId="191" fontId="7" fillId="0" borderId="34" xfId="68" applyNumberFormat="1" applyFont="1" applyBorder="1" applyAlignment="1">
      <alignment vertical="center" shrinkToFit="1"/>
      <protection/>
    </xf>
    <xf numFmtId="191" fontId="0" fillId="0" borderId="21" xfId="68" applyNumberFormat="1" applyFont="1" applyFill="1" applyBorder="1" applyAlignment="1">
      <alignment vertical="center" shrinkToFit="1"/>
      <protection/>
    </xf>
    <xf numFmtId="191" fontId="0" fillId="0" borderId="35" xfId="68" applyNumberFormat="1" applyFont="1" applyBorder="1" applyAlignment="1">
      <alignment horizontal="left" vertical="center"/>
      <protection/>
    </xf>
    <xf numFmtId="191" fontId="0" fillId="0" borderId="36" xfId="68" applyNumberFormat="1" applyFont="1" applyBorder="1" applyAlignment="1">
      <alignment vertical="center"/>
      <protection/>
    </xf>
    <xf numFmtId="191" fontId="0" fillId="0" borderId="37" xfId="68" applyNumberFormat="1" applyFont="1" applyBorder="1" applyAlignment="1">
      <alignment vertical="center"/>
      <protection/>
    </xf>
    <xf numFmtId="191" fontId="0" fillId="0" borderId="38" xfId="68" applyNumberFormat="1" applyFont="1" applyBorder="1" applyAlignment="1">
      <alignment vertical="center"/>
      <protection/>
    </xf>
    <xf numFmtId="191" fontId="0" fillId="0" borderId="20" xfId="68" applyNumberFormat="1" applyFont="1" applyBorder="1" applyAlignment="1">
      <alignment vertical="center" wrapText="1"/>
      <protection/>
    </xf>
    <xf numFmtId="0" fontId="2" fillId="0" borderId="0" xfId="69" applyFont="1">
      <alignment vertical="center"/>
      <protection/>
    </xf>
    <xf numFmtId="0" fontId="3" fillId="0" borderId="0" xfId="69" applyFont="1" applyAlignment="1">
      <alignment horizontal="centerContinuous" vertical="center"/>
      <protection/>
    </xf>
    <xf numFmtId="0" fontId="10" fillId="0" borderId="0" xfId="69" applyFont="1" applyAlignment="1">
      <alignment horizontal="center"/>
      <protection/>
    </xf>
    <xf numFmtId="0" fontId="11" fillId="0" borderId="0" xfId="69" applyFont="1">
      <alignment vertical="center"/>
      <protection/>
    </xf>
    <xf numFmtId="0" fontId="12" fillId="0" borderId="0" xfId="69" applyFont="1">
      <alignment vertical="center"/>
      <protection/>
    </xf>
    <xf numFmtId="191" fontId="0" fillId="0" borderId="14" xfId="68" applyNumberFormat="1" applyFont="1" applyBorder="1" applyAlignment="1">
      <alignment horizontal="center" vertical="center"/>
      <protection/>
    </xf>
    <xf numFmtId="191" fontId="0" fillId="0" borderId="0" xfId="68" applyNumberFormat="1" applyFont="1" applyBorder="1" applyAlignment="1">
      <alignment horizontal="center" vertical="center"/>
      <protection/>
    </xf>
    <xf numFmtId="191" fontId="7" fillId="0" borderId="16" xfId="68" applyNumberFormat="1" applyFont="1" applyBorder="1" applyAlignment="1">
      <alignment horizontal="center" vertical="center"/>
      <protection/>
    </xf>
    <xf numFmtId="191" fontId="7" fillId="0" borderId="18" xfId="68" applyNumberFormat="1" applyFont="1" applyBorder="1" applyAlignment="1">
      <alignment vertical="center" shrinkToFit="1"/>
      <protection/>
    </xf>
    <xf numFmtId="191" fontId="0" fillId="0" borderId="15" xfId="68" applyNumberFormat="1" applyFont="1" applyBorder="1" applyAlignment="1">
      <alignment vertical="center"/>
      <protection/>
    </xf>
    <xf numFmtId="3" fontId="0" fillId="0" borderId="17" xfId="68" applyNumberFormat="1" applyFont="1" applyBorder="1" applyAlignment="1">
      <alignment vertical="center"/>
      <protection/>
    </xf>
    <xf numFmtId="0" fontId="0" fillId="0" borderId="17" xfId="68" applyFont="1" applyBorder="1" applyAlignment="1">
      <alignment horizontal="center" vertical="center"/>
      <protection/>
    </xf>
    <xf numFmtId="0" fontId="0" fillId="0" borderId="17" xfId="68" applyFont="1" applyBorder="1" applyAlignment="1">
      <alignment horizontal="left" vertical="center"/>
      <protection/>
    </xf>
    <xf numFmtId="0" fontId="0" fillId="0" borderId="17" xfId="68" applyFont="1" applyBorder="1" applyAlignment="1">
      <alignment vertical="center"/>
      <protection/>
    </xf>
    <xf numFmtId="3" fontId="0" fillId="33" borderId="18" xfId="68" applyNumberFormat="1" applyFont="1" applyFill="1" applyBorder="1" applyAlignment="1">
      <alignment vertical="center"/>
      <protection/>
    </xf>
    <xf numFmtId="191" fontId="0" fillId="0" borderId="20" xfId="68" applyNumberFormat="1" applyFont="1" applyBorder="1" applyAlignment="1">
      <alignment vertical="center"/>
      <protection/>
    </xf>
    <xf numFmtId="191" fontId="0" fillId="0" borderId="37" xfId="68" applyNumberFormat="1" applyFont="1" applyBorder="1" applyAlignment="1">
      <alignment vertical="center"/>
      <protection/>
    </xf>
    <xf numFmtId="191" fontId="7" fillId="33" borderId="33" xfId="68" applyNumberFormat="1" applyFont="1" applyFill="1" applyBorder="1" applyAlignment="1">
      <alignment vertical="center" shrinkToFit="1"/>
      <protection/>
    </xf>
    <xf numFmtId="0" fontId="13" fillId="0" borderId="0" xfId="69" applyFont="1">
      <alignment vertical="center"/>
      <protection/>
    </xf>
    <xf numFmtId="191" fontId="0" fillId="0" borderId="19" xfId="68" applyNumberFormat="1" applyFont="1" applyBorder="1" applyAlignment="1">
      <alignment horizontal="center" vertical="center"/>
      <protection/>
    </xf>
    <xf numFmtId="191" fontId="7" fillId="0" borderId="0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vertical="center"/>
      <protection/>
    </xf>
    <xf numFmtId="191" fontId="0" fillId="0" borderId="0" xfId="68" applyNumberFormat="1" applyFont="1" applyFill="1" applyBorder="1" applyAlignment="1">
      <alignment horizontal="left" vertical="center"/>
      <protection/>
    </xf>
    <xf numFmtId="191" fontId="7" fillId="0" borderId="21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horizontal="left" vertical="center" shrinkToFit="1"/>
      <protection/>
    </xf>
    <xf numFmtId="191" fontId="0" fillId="0" borderId="0" xfId="68" applyNumberFormat="1" applyFont="1" applyFill="1" applyBorder="1" applyAlignment="1" quotePrefix="1">
      <alignment vertical="center"/>
      <protection/>
    </xf>
    <xf numFmtId="191" fontId="0" fillId="0" borderId="0" xfId="68" applyNumberFormat="1" applyFont="1" applyFill="1" applyBorder="1" applyAlignment="1">
      <alignment vertical="center" shrinkToFit="1"/>
      <protection/>
    </xf>
    <xf numFmtId="191" fontId="0" fillId="0" borderId="21" xfId="68" applyNumberFormat="1" applyFont="1" applyFill="1" applyBorder="1" applyAlignment="1">
      <alignment vertical="center" shrinkToFit="1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191" fontId="0" fillId="0" borderId="17" xfId="68" applyNumberFormat="1" applyFont="1" applyFill="1" applyBorder="1" applyAlignment="1">
      <alignment vertical="center" shrinkToFit="1"/>
      <protection/>
    </xf>
    <xf numFmtId="191" fontId="0" fillId="0" borderId="17" xfId="68" applyNumberFormat="1" applyFont="1" applyFill="1" applyBorder="1" applyAlignment="1">
      <alignment vertical="center"/>
      <protection/>
    </xf>
    <xf numFmtId="191" fontId="0" fillId="0" borderId="17" xfId="68" applyNumberFormat="1" applyFont="1" applyFill="1" applyBorder="1" applyAlignment="1">
      <alignment horizontal="left" vertical="center"/>
      <protection/>
    </xf>
    <xf numFmtId="191" fontId="0" fillId="0" borderId="18" xfId="68" applyNumberFormat="1" applyFont="1" applyFill="1" applyBorder="1" applyAlignment="1">
      <alignment vertical="center" shrinkToFit="1"/>
      <protection/>
    </xf>
    <xf numFmtId="3" fontId="0" fillId="0" borderId="0" xfId="68" applyNumberFormat="1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191" fontId="0" fillId="0" borderId="0" xfId="68" applyNumberFormat="1" applyFont="1" applyFill="1" applyAlignment="1">
      <alignment vertical="center" shrinkToFit="1"/>
      <protection/>
    </xf>
    <xf numFmtId="191" fontId="0" fillId="0" borderId="0" xfId="68" applyNumberFormat="1" applyFont="1" applyFill="1" applyAlignment="1">
      <alignment vertical="center"/>
      <protection/>
    </xf>
    <xf numFmtId="191" fontId="0" fillId="0" borderId="0" xfId="68" applyNumberFormat="1" applyFont="1" applyFill="1" applyAlignment="1">
      <alignment horizontal="left" vertical="center"/>
      <protection/>
    </xf>
    <xf numFmtId="191" fontId="0" fillId="0" borderId="22" xfId="68" applyNumberFormat="1" applyFont="1" applyBorder="1" applyAlignment="1">
      <alignment vertical="center" wrapText="1"/>
      <protection/>
    </xf>
    <xf numFmtId="191" fontId="0" fillId="0" borderId="24" xfId="68" applyNumberFormat="1" applyFont="1" applyBorder="1" applyAlignment="1">
      <alignment horizontal="center" vertical="center"/>
      <protection/>
    </xf>
    <xf numFmtId="191" fontId="0" fillId="0" borderId="39" xfId="68" applyNumberFormat="1" applyFont="1" applyBorder="1" applyAlignment="1">
      <alignment vertical="center"/>
      <protection/>
    </xf>
    <xf numFmtId="191" fontId="0" fillId="0" borderId="18" xfId="68" applyNumberFormat="1" applyFont="1" applyBorder="1" applyAlignment="1">
      <alignment vertical="center"/>
      <protection/>
    </xf>
    <xf numFmtId="191" fontId="0" fillId="34" borderId="40" xfId="68" applyNumberFormat="1" applyFont="1" applyFill="1" applyBorder="1" applyAlignment="1">
      <alignment vertical="center"/>
      <protection/>
    </xf>
    <xf numFmtId="191" fontId="0" fillId="34" borderId="41" xfId="68" applyNumberFormat="1" applyFont="1" applyFill="1" applyBorder="1" applyAlignment="1">
      <alignment vertical="center"/>
      <protection/>
    </xf>
    <xf numFmtId="191" fontId="0" fillId="34" borderId="42" xfId="68" applyNumberFormat="1" applyFont="1" applyFill="1" applyBorder="1" applyAlignment="1">
      <alignment vertical="center"/>
      <protection/>
    </xf>
    <xf numFmtId="191" fontId="0" fillId="34" borderId="43" xfId="68" applyNumberFormat="1" applyFont="1" applyFill="1" applyBorder="1" applyAlignment="1">
      <alignment vertical="center" shrinkToFit="1"/>
      <protection/>
    </xf>
    <xf numFmtId="191" fontId="0" fillId="35" borderId="44" xfId="68" applyNumberFormat="1" applyFont="1" applyFill="1" applyBorder="1" applyAlignment="1">
      <alignment vertical="center"/>
      <protection/>
    </xf>
    <xf numFmtId="191" fontId="0" fillId="35" borderId="32" xfId="68" applyNumberFormat="1" applyFont="1" applyFill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vertical="center"/>
      <protection/>
    </xf>
    <xf numFmtId="191" fontId="0" fillId="35" borderId="33" xfId="68" applyNumberFormat="1" applyFont="1" applyFill="1" applyBorder="1" applyAlignment="1">
      <alignment vertical="center" shrinkToFit="1"/>
      <protection/>
    </xf>
    <xf numFmtId="191" fontId="0" fillId="0" borderId="15" xfId="68" applyNumberFormat="1" applyFont="1" applyBorder="1" applyAlignment="1">
      <alignment horizontal="left" vertical="center"/>
      <protection/>
    </xf>
    <xf numFmtId="191" fontId="0" fillId="0" borderId="19" xfId="68" applyNumberFormat="1" applyFont="1" applyBorder="1" applyAlignment="1">
      <alignment horizontal="left" vertical="center"/>
      <protection/>
    </xf>
    <xf numFmtId="191" fontId="0" fillId="0" borderId="29" xfId="68" applyNumberFormat="1" applyFont="1" applyBorder="1" applyAlignment="1">
      <alignment vertical="center"/>
      <protection/>
    </xf>
    <xf numFmtId="191" fontId="0" fillId="0" borderId="45" xfId="68" applyNumberFormat="1" applyFont="1" applyBorder="1" applyAlignment="1">
      <alignment vertical="center" shrinkToFit="1"/>
      <protection/>
    </xf>
    <xf numFmtId="191" fontId="0" fillId="0" borderId="46" xfId="68" applyNumberFormat="1" applyFont="1" applyBorder="1" applyAlignment="1">
      <alignment horizontal="left" vertical="center"/>
      <protection/>
    </xf>
    <xf numFmtId="191" fontId="7" fillId="0" borderId="33" xfId="68" applyNumberFormat="1" applyFont="1" applyFill="1" applyBorder="1" applyAlignment="1">
      <alignment vertical="center" shrinkToFit="1"/>
      <protection/>
    </xf>
    <xf numFmtId="3" fontId="7" fillId="33" borderId="33" xfId="68" applyNumberFormat="1" applyFont="1" applyFill="1" applyBorder="1" applyAlignment="1">
      <alignment vertical="center"/>
      <protection/>
    </xf>
    <xf numFmtId="191" fontId="0" fillId="34" borderId="47" xfId="68" applyNumberFormat="1" applyFont="1" applyFill="1" applyBorder="1" applyAlignment="1">
      <alignment vertical="center"/>
      <protection/>
    </xf>
    <xf numFmtId="191" fontId="0" fillId="34" borderId="48" xfId="68" applyNumberFormat="1" applyFont="1" applyFill="1" applyBorder="1" applyAlignment="1">
      <alignment vertical="center"/>
      <protection/>
    </xf>
    <xf numFmtId="191" fontId="0" fillId="34" borderId="49" xfId="68" applyNumberFormat="1" applyFont="1" applyFill="1" applyBorder="1" applyAlignment="1">
      <alignment vertical="center"/>
      <protection/>
    </xf>
    <xf numFmtId="191" fontId="0" fillId="35" borderId="26" xfId="68" applyNumberFormat="1" applyFont="1" applyFill="1" applyBorder="1" applyAlignment="1">
      <alignment vertical="center"/>
      <protection/>
    </xf>
    <xf numFmtId="191" fontId="0" fillId="35" borderId="50" xfId="68" applyNumberFormat="1" applyFont="1" applyFill="1" applyBorder="1" applyAlignment="1">
      <alignment vertical="center"/>
      <protection/>
    </xf>
    <xf numFmtId="191" fontId="0" fillId="35" borderId="12" xfId="68" applyNumberFormat="1" applyFont="1" applyFill="1" applyBorder="1" applyAlignment="1">
      <alignment vertical="center"/>
      <protection/>
    </xf>
    <xf numFmtId="191" fontId="0" fillId="35" borderId="17" xfId="68" applyNumberFormat="1" applyFont="1" applyFill="1" applyBorder="1" applyAlignment="1">
      <alignment vertical="center" shrinkToFit="1"/>
      <protection/>
    </xf>
    <xf numFmtId="3" fontId="0" fillId="35" borderId="17" xfId="68" applyNumberFormat="1" applyFont="1" applyFill="1" applyBorder="1" applyAlignment="1">
      <alignment vertical="center"/>
      <protection/>
    </xf>
    <xf numFmtId="0" fontId="0" fillId="35" borderId="17" xfId="68" applyFont="1" applyFill="1" applyBorder="1" applyAlignment="1">
      <alignment horizontal="center" vertical="center"/>
      <protection/>
    </xf>
    <xf numFmtId="0" fontId="0" fillId="35" borderId="17" xfId="68" applyFont="1" applyFill="1" applyBorder="1" applyAlignment="1">
      <alignment horizontal="left" vertical="center"/>
      <protection/>
    </xf>
    <xf numFmtId="0" fontId="0" fillId="35" borderId="17" xfId="68" applyFont="1" applyFill="1" applyBorder="1" applyAlignment="1">
      <alignment vertical="center"/>
      <protection/>
    </xf>
    <xf numFmtId="191" fontId="0" fillId="35" borderId="17" xfId="68" applyNumberFormat="1" applyFont="1" applyFill="1" applyBorder="1" applyAlignment="1">
      <alignment vertical="center"/>
      <protection/>
    </xf>
    <xf numFmtId="3" fontId="0" fillId="35" borderId="18" xfId="68" applyNumberFormat="1" applyFont="1" applyFill="1" applyBorder="1" applyAlignment="1">
      <alignment vertical="center"/>
      <protection/>
    </xf>
    <xf numFmtId="191" fontId="0" fillId="35" borderId="51" xfId="68" applyNumberFormat="1" applyFont="1" applyFill="1" applyBorder="1" applyAlignment="1">
      <alignment vertical="center"/>
      <protection/>
    </xf>
    <xf numFmtId="191" fontId="0" fillId="35" borderId="52" xfId="68" applyNumberFormat="1" applyFont="1" applyFill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vertical="center" shrinkToFit="1"/>
      <protection/>
    </xf>
    <xf numFmtId="191" fontId="0" fillId="0" borderId="35" xfId="68" applyNumberFormat="1" applyFont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horizontal="center" vertical="center"/>
      <protection/>
    </xf>
    <xf numFmtId="191" fontId="7" fillId="35" borderId="33" xfId="68" applyNumberFormat="1" applyFont="1" applyFill="1" applyBorder="1" applyAlignment="1">
      <alignment vertical="center" shrinkToFit="1"/>
      <protection/>
    </xf>
    <xf numFmtId="191" fontId="0" fillId="34" borderId="48" xfId="68" applyNumberFormat="1" applyFont="1" applyFill="1" applyBorder="1" applyAlignment="1">
      <alignment horizontal="left" vertical="center"/>
      <protection/>
    </xf>
    <xf numFmtId="191" fontId="0" fillId="34" borderId="53" xfId="68" applyNumberFormat="1" applyFont="1" applyFill="1" applyBorder="1" applyAlignment="1">
      <alignment vertical="center"/>
      <protection/>
    </xf>
    <xf numFmtId="191" fontId="0" fillId="34" borderId="54" xfId="68" applyNumberFormat="1" applyFont="1" applyFill="1" applyBorder="1" applyAlignment="1">
      <alignment vertical="center"/>
      <protection/>
    </xf>
    <xf numFmtId="191" fontId="0" fillId="34" borderId="48" xfId="68" applyNumberFormat="1" applyFont="1" applyFill="1" applyBorder="1" applyAlignment="1">
      <alignment vertical="center" shrinkToFit="1"/>
      <protection/>
    </xf>
    <xf numFmtId="191" fontId="0" fillId="34" borderId="49" xfId="68" applyNumberFormat="1" applyFont="1" applyFill="1" applyBorder="1" applyAlignment="1">
      <alignment vertical="center" shrinkToFit="1"/>
      <protection/>
    </xf>
    <xf numFmtId="191" fontId="0" fillId="35" borderId="42" xfId="68" applyNumberFormat="1" applyFont="1" applyFill="1" applyBorder="1" applyAlignment="1">
      <alignment horizontal="left" vertical="center"/>
      <protection/>
    </xf>
    <xf numFmtId="191" fontId="0" fillId="35" borderId="55" xfId="68" applyNumberFormat="1" applyFont="1" applyFill="1" applyBorder="1" applyAlignment="1">
      <alignment vertical="center"/>
      <protection/>
    </xf>
    <xf numFmtId="191" fontId="0" fillId="35" borderId="42" xfId="68" applyNumberFormat="1" applyFont="1" applyFill="1" applyBorder="1" applyAlignment="1">
      <alignment vertical="center" shrinkToFit="1"/>
      <protection/>
    </xf>
    <xf numFmtId="191" fontId="0" fillId="35" borderId="42" xfId="68" applyNumberFormat="1" applyFont="1" applyFill="1" applyBorder="1" applyAlignment="1">
      <alignment vertical="center"/>
      <protection/>
    </xf>
    <xf numFmtId="191" fontId="0" fillId="35" borderId="43" xfId="68" applyNumberFormat="1" applyFont="1" applyFill="1" applyBorder="1" applyAlignment="1">
      <alignment vertical="center" shrinkToFit="1"/>
      <protection/>
    </xf>
    <xf numFmtId="191" fontId="0" fillId="35" borderId="40" xfId="68" applyNumberFormat="1" applyFont="1" applyFill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horizontal="left" vertical="center"/>
      <protection/>
    </xf>
    <xf numFmtId="191" fontId="0" fillId="34" borderId="56" xfId="68" applyNumberFormat="1" applyFont="1" applyFill="1" applyBorder="1" applyAlignment="1">
      <alignment vertical="center"/>
      <protection/>
    </xf>
    <xf numFmtId="191" fontId="7" fillId="36" borderId="56" xfId="68" applyNumberFormat="1" applyFont="1" applyFill="1" applyBorder="1" applyAlignment="1">
      <alignment vertical="center"/>
      <protection/>
    </xf>
    <xf numFmtId="191" fontId="0" fillId="36" borderId="57" xfId="68" applyNumberFormat="1" applyFont="1" applyFill="1" applyBorder="1" applyAlignment="1">
      <alignment vertical="center"/>
      <protection/>
    </xf>
    <xf numFmtId="191" fontId="0" fillId="36" borderId="48" xfId="68" applyNumberFormat="1" applyFont="1" applyFill="1" applyBorder="1" applyAlignment="1">
      <alignment vertical="center"/>
      <protection/>
    </xf>
    <xf numFmtId="191" fontId="0" fillId="36" borderId="49" xfId="68" applyNumberFormat="1" applyFont="1" applyFill="1" applyBorder="1" applyAlignment="1">
      <alignment vertical="center" shrinkToFit="1"/>
      <protection/>
    </xf>
    <xf numFmtId="191" fontId="7" fillId="36" borderId="47" xfId="68" applyNumberFormat="1" applyFont="1" applyFill="1" applyBorder="1" applyAlignment="1">
      <alignment vertical="center" shrinkToFit="1"/>
      <protection/>
    </xf>
    <xf numFmtId="191" fontId="7" fillId="36" borderId="48" xfId="68" applyNumberFormat="1" applyFont="1" applyFill="1" applyBorder="1" applyAlignment="1">
      <alignment vertical="center" shrinkToFit="1"/>
      <protection/>
    </xf>
    <xf numFmtId="191" fontId="0" fillId="36" borderId="48" xfId="68" applyNumberFormat="1" applyFont="1" applyFill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horizontal="right" vertical="center"/>
      <protection/>
    </xf>
    <xf numFmtId="191" fontId="0" fillId="0" borderId="21" xfId="68" applyNumberFormat="1" applyFont="1" applyBorder="1" applyAlignment="1">
      <alignment vertical="center" shrinkToFit="1"/>
      <protection/>
    </xf>
    <xf numFmtId="191" fontId="0" fillId="0" borderId="20" xfId="68" applyNumberFormat="1" applyFont="1" applyBorder="1" applyAlignment="1">
      <alignment horizontal="center" vertical="center"/>
      <protection/>
    </xf>
    <xf numFmtId="191" fontId="0" fillId="0" borderId="16" xfId="68" applyNumberFormat="1" applyFont="1" applyBorder="1" applyAlignment="1">
      <alignment vertical="center" wrapText="1"/>
      <protection/>
    </xf>
    <xf numFmtId="191" fontId="0" fillId="0" borderId="15" xfId="68" applyNumberFormat="1" applyFont="1" applyBorder="1" applyAlignment="1">
      <alignment vertical="center"/>
      <protection/>
    </xf>
    <xf numFmtId="191" fontId="0" fillId="0" borderId="29" xfId="68" applyNumberFormat="1" applyFont="1" applyBorder="1" applyAlignment="1">
      <alignment vertical="center"/>
      <protection/>
    </xf>
    <xf numFmtId="191" fontId="0" fillId="0" borderId="17" xfId="68" applyNumberFormat="1" applyFont="1" applyBorder="1" applyAlignment="1">
      <alignment vertical="center" shrinkToFit="1"/>
      <protection/>
    </xf>
    <xf numFmtId="191" fontId="0" fillId="0" borderId="17" xfId="68" applyNumberFormat="1" applyFont="1" applyBorder="1" applyAlignment="1">
      <alignment vertical="center"/>
      <protection/>
    </xf>
    <xf numFmtId="191" fontId="0" fillId="0" borderId="17" xfId="68" applyNumberFormat="1" applyFont="1" applyBorder="1" applyAlignment="1">
      <alignment horizontal="left" vertical="center"/>
      <protection/>
    </xf>
    <xf numFmtId="191" fontId="0" fillId="33" borderId="18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horizontal="left" vertical="center"/>
      <protection/>
    </xf>
    <xf numFmtId="191" fontId="0" fillId="33" borderId="21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Border="1" applyAlignment="1">
      <alignment vertical="center" shrinkToFit="1"/>
      <protection/>
    </xf>
    <xf numFmtId="3" fontId="0" fillId="0" borderId="0" xfId="68" applyNumberFormat="1" applyFont="1" applyBorder="1" applyAlignment="1">
      <alignment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left" vertical="center"/>
      <protection/>
    </xf>
    <xf numFmtId="0" fontId="0" fillId="0" borderId="0" xfId="68" applyFont="1" applyBorder="1" applyAlignment="1">
      <alignment vertical="center"/>
      <protection/>
    </xf>
    <xf numFmtId="3" fontId="0" fillId="33" borderId="21" xfId="68" applyNumberFormat="1" applyFont="1" applyFill="1" applyBorder="1" applyAlignment="1">
      <alignment vertical="center"/>
      <protection/>
    </xf>
    <xf numFmtId="191" fontId="7" fillId="0" borderId="58" xfId="68" applyNumberFormat="1" applyFont="1" applyBorder="1" applyAlignment="1">
      <alignment vertical="center"/>
      <protection/>
    </xf>
    <xf numFmtId="191" fontId="7" fillId="0" borderId="31" xfId="68" applyNumberFormat="1" applyFont="1" applyBorder="1" applyAlignment="1">
      <alignment horizontal="center" vertical="center"/>
      <protection/>
    </xf>
    <xf numFmtId="191" fontId="0" fillId="0" borderId="31" xfId="68" applyNumberFormat="1" applyFont="1" applyBorder="1" applyAlignment="1">
      <alignment horizontal="center" vertical="center" shrinkToFit="1"/>
      <protection/>
    </xf>
    <xf numFmtId="191" fontId="7" fillId="33" borderId="34" xfId="68" applyNumberFormat="1" applyFont="1" applyFill="1" applyBorder="1" applyAlignment="1">
      <alignment vertical="center" shrinkToFit="1"/>
      <protection/>
    </xf>
    <xf numFmtId="178" fontId="0" fillId="0" borderId="0" xfId="44" applyNumberFormat="1" applyFont="1" applyBorder="1" applyAlignment="1">
      <alignment vertical="center" shrinkToFit="1"/>
    </xf>
    <xf numFmtId="191" fontId="0" fillId="0" borderId="0" xfId="68" applyNumberFormat="1" applyFont="1" applyBorder="1" applyAlignment="1">
      <alignment horizontal="left" vertical="center" shrinkToFit="1"/>
      <protection/>
    </xf>
    <xf numFmtId="191" fontId="0" fillId="0" borderId="35" xfId="68" applyNumberFormat="1" applyFont="1" applyBorder="1" applyAlignment="1">
      <alignment vertical="center" shrinkToFit="1"/>
      <protection/>
    </xf>
    <xf numFmtId="191" fontId="0" fillId="0" borderId="0" xfId="68" applyNumberFormat="1" applyFont="1" applyBorder="1" applyAlignment="1" quotePrefix="1">
      <alignment vertical="center"/>
      <protection/>
    </xf>
    <xf numFmtId="196" fontId="0" fillId="0" borderId="0" xfId="68" applyNumberFormat="1" applyFont="1" applyBorder="1" applyAlignment="1">
      <alignment vertical="center" shrinkToFit="1"/>
      <protection/>
    </xf>
    <xf numFmtId="200" fontId="0" fillId="0" borderId="0" xfId="68" applyNumberFormat="1" applyFont="1" applyBorder="1" applyAlignment="1">
      <alignment vertical="center" shrinkToFit="1"/>
      <protection/>
    </xf>
    <xf numFmtId="0" fontId="0" fillId="0" borderId="0" xfId="68" applyFont="1" applyBorder="1" applyAlignment="1" applyProtection="1">
      <alignment horizontal="center" vertical="center"/>
      <protection locked="0"/>
    </xf>
    <xf numFmtId="191" fontId="0" fillId="0" borderId="0" xfId="68" applyNumberFormat="1" applyFont="1" applyBorder="1" applyAlignment="1" quotePrefix="1">
      <alignment horizontal="left" vertical="center" indent="1" shrinkToFit="1"/>
      <protection/>
    </xf>
    <xf numFmtId="41" fontId="0" fillId="0" borderId="0" xfId="50" applyFont="1" applyBorder="1" applyAlignment="1">
      <alignment vertical="center" shrinkToFit="1"/>
    </xf>
    <xf numFmtId="191" fontId="0" fillId="0" borderId="0" xfId="68" applyNumberFormat="1" applyFont="1" applyBorder="1" applyAlignment="1" quotePrefix="1">
      <alignment vertical="center" shrinkToFit="1"/>
      <protection/>
    </xf>
    <xf numFmtId="191" fontId="7" fillId="0" borderId="31" xfId="68" applyNumberFormat="1" applyFont="1" applyBorder="1" applyAlignment="1">
      <alignment horizontal="center" vertical="center" shrinkToFit="1"/>
      <protection/>
    </xf>
    <xf numFmtId="191" fontId="0" fillId="0" borderId="0" xfId="68" applyNumberFormat="1" applyFont="1" applyAlignment="1">
      <alignment vertical="center" shrinkToFit="1"/>
      <protection/>
    </xf>
    <xf numFmtId="191" fontId="0" fillId="0" borderId="0" xfId="68" applyNumberFormat="1" applyFont="1" applyFill="1" applyBorder="1" applyAlignment="1">
      <alignment vertical="center"/>
      <protection/>
    </xf>
    <xf numFmtId="191" fontId="0" fillId="0" borderId="0" xfId="68" applyNumberFormat="1" applyFont="1" applyFill="1" applyBorder="1" applyAlignment="1">
      <alignment horizontal="left" vertical="center"/>
      <protection/>
    </xf>
    <xf numFmtId="191" fontId="0" fillId="0" borderId="0" xfId="68" applyNumberFormat="1" applyFont="1" applyFill="1" applyBorder="1" applyAlignment="1" quotePrefix="1">
      <alignment vertical="center"/>
      <protection/>
    </xf>
    <xf numFmtId="191" fontId="7" fillId="0" borderId="0" xfId="68" applyNumberFormat="1" applyFont="1" applyFill="1" applyBorder="1" applyAlignment="1">
      <alignment vertical="center"/>
      <protection/>
    </xf>
    <xf numFmtId="191" fontId="7" fillId="0" borderId="0" xfId="68" applyNumberFormat="1" applyFont="1" applyFill="1" applyBorder="1" applyAlignment="1">
      <alignment horizontal="left" vertical="center"/>
      <protection/>
    </xf>
    <xf numFmtId="191" fontId="7" fillId="0" borderId="0" xfId="68" applyNumberFormat="1" applyFont="1" applyFill="1" applyBorder="1" applyAlignment="1" quotePrefix="1">
      <alignment vertical="center"/>
      <protection/>
    </xf>
    <xf numFmtId="191" fontId="7" fillId="0" borderId="17" xfId="68" applyNumberFormat="1" applyFont="1" applyBorder="1" applyAlignment="1">
      <alignment vertical="center" shrinkToFit="1"/>
      <protection/>
    </xf>
    <xf numFmtId="191" fontId="0" fillId="35" borderId="59" xfId="68" applyNumberFormat="1" applyFont="1" applyFill="1" applyBorder="1" applyAlignment="1">
      <alignment vertical="center"/>
      <protection/>
    </xf>
    <xf numFmtId="0" fontId="68" fillId="0" borderId="0" xfId="69" applyFont="1" applyAlignment="1">
      <alignment horizontal="left"/>
      <protection/>
    </xf>
    <xf numFmtId="0" fontId="69" fillId="0" borderId="0" xfId="69" applyFont="1" applyAlignment="1">
      <alignment horizontal="left"/>
      <protection/>
    </xf>
    <xf numFmtId="0" fontId="70" fillId="0" borderId="0" xfId="69" applyFont="1">
      <alignment vertical="center"/>
      <protection/>
    </xf>
    <xf numFmtId="0" fontId="71" fillId="0" borderId="0" xfId="69" applyFont="1" applyAlignment="1">
      <alignment horizontal="left"/>
      <protection/>
    </xf>
    <xf numFmtId="0" fontId="72" fillId="0" borderId="0" xfId="69" applyFont="1" applyAlignment="1">
      <alignment horizontal="centerContinuous" vertical="center"/>
      <protection/>
    </xf>
    <xf numFmtId="0" fontId="73" fillId="0" borderId="0" xfId="69" applyFont="1">
      <alignment vertical="center"/>
      <protection/>
    </xf>
    <xf numFmtId="0" fontId="2" fillId="0" borderId="0" xfId="69" applyFont="1" applyBorder="1">
      <alignment vertical="center"/>
      <protection/>
    </xf>
    <xf numFmtId="0" fontId="74" fillId="0" borderId="0" xfId="69" applyFont="1" applyAlignment="1">
      <alignment horizontal="centerContinuous" vertical="center" wrapText="1"/>
      <protection/>
    </xf>
    <xf numFmtId="0" fontId="75" fillId="0" borderId="0" xfId="69" applyFont="1">
      <alignment vertical="center"/>
      <protection/>
    </xf>
    <xf numFmtId="0" fontId="75" fillId="0" borderId="0" xfId="69" applyFont="1" applyAlignment="1">
      <alignment vertical="center"/>
      <protection/>
    </xf>
    <xf numFmtId="0" fontId="76" fillId="0" borderId="0" xfId="69" applyFont="1">
      <alignment vertical="center"/>
      <protection/>
    </xf>
    <xf numFmtId="0" fontId="77" fillId="0" borderId="0" xfId="69" applyFont="1" applyAlignment="1">
      <alignment horizontal="centerContinuous" vertical="center"/>
      <protection/>
    </xf>
    <xf numFmtId="0" fontId="78" fillId="0" borderId="0" xfId="69" applyFont="1">
      <alignment vertical="center"/>
      <protection/>
    </xf>
    <xf numFmtId="0" fontId="79" fillId="0" borderId="0" xfId="69" applyFont="1">
      <alignment vertical="center"/>
      <protection/>
    </xf>
    <xf numFmtId="185" fontId="16" fillId="0" borderId="0" xfId="67" applyNumberFormat="1" applyFont="1" applyAlignment="1">
      <alignment vertical="center"/>
      <protection/>
    </xf>
    <xf numFmtId="41" fontId="17" fillId="0" borderId="0" xfId="51" applyFont="1" applyAlignment="1">
      <alignment horizontal="left" vertical="center"/>
    </xf>
    <xf numFmtId="185" fontId="16" fillId="0" borderId="0" xfId="67" applyNumberFormat="1" applyFont="1" applyAlignment="1">
      <alignment horizontal="right" vertical="center"/>
      <protection/>
    </xf>
    <xf numFmtId="185" fontId="16" fillId="0" borderId="0" xfId="67" applyNumberFormat="1" applyFont="1" applyAlignment="1">
      <alignment/>
      <protection/>
    </xf>
    <xf numFmtId="185" fontId="16" fillId="0" borderId="0" xfId="67" applyNumberFormat="1" applyFont="1" applyAlignment="1">
      <alignment vertical="top"/>
      <protection/>
    </xf>
    <xf numFmtId="185" fontId="16" fillId="0" borderId="0" xfId="67" applyNumberFormat="1" applyFont="1" applyAlignment="1">
      <alignment horizontal="center" vertical="center"/>
      <protection/>
    </xf>
    <xf numFmtId="191" fontId="80" fillId="0" borderId="0" xfId="68" applyNumberFormat="1" applyFont="1" applyAlignment="1">
      <alignment vertical="center"/>
      <protection/>
    </xf>
    <xf numFmtId="191" fontId="0" fillId="0" borderId="22" xfId="68" applyNumberFormat="1" applyFont="1" applyBorder="1" applyAlignment="1">
      <alignment vertical="center"/>
      <protection/>
    </xf>
    <xf numFmtId="191" fontId="0" fillId="0" borderId="20" xfId="68" applyNumberFormat="1" applyFont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vertical="center"/>
      <protection/>
    </xf>
    <xf numFmtId="191" fontId="0" fillId="0" borderId="21" xfId="68" applyNumberFormat="1" applyFont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horizontal="left" vertical="center"/>
      <protection/>
    </xf>
    <xf numFmtId="191" fontId="0" fillId="0" borderId="0" xfId="68" applyNumberFormat="1" applyFont="1" applyFill="1" applyBorder="1" applyAlignment="1">
      <alignment horizontal="left" vertical="center" shrinkToFit="1"/>
      <protection/>
    </xf>
    <xf numFmtId="9" fontId="0" fillId="0" borderId="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vertical="center"/>
      <protection/>
    </xf>
    <xf numFmtId="0" fontId="81" fillId="0" borderId="0" xfId="69" applyFont="1">
      <alignment vertical="center"/>
      <protection/>
    </xf>
    <xf numFmtId="0" fontId="79" fillId="0" borderId="60" xfId="69" applyFont="1" applyBorder="1" applyAlignment="1">
      <alignment horizontal="center" vertical="center"/>
      <protection/>
    </xf>
    <xf numFmtId="0" fontId="79" fillId="0" borderId="61" xfId="69" applyFont="1" applyBorder="1">
      <alignment vertical="center"/>
      <protection/>
    </xf>
    <xf numFmtId="0" fontId="79" fillId="0" borderId="62" xfId="69" applyFont="1" applyBorder="1">
      <alignment vertical="center"/>
      <protection/>
    </xf>
    <xf numFmtId="0" fontId="79" fillId="0" borderId="35" xfId="69" applyFont="1" applyBorder="1" applyAlignment="1">
      <alignment horizontal="center" vertical="center"/>
      <protection/>
    </xf>
    <xf numFmtId="0" fontId="79" fillId="0" borderId="0" xfId="69" applyFont="1" applyBorder="1">
      <alignment vertical="center"/>
      <protection/>
    </xf>
    <xf numFmtId="0" fontId="79" fillId="0" borderId="21" xfId="69" applyFont="1" applyBorder="1">
      <alignment vertical="center"/>
      <protection/>
    </xf>
    <xf numFmtId="0" fontId="79" fillId="0" borderId="35" xfId="69" applyFont="1" applyBorder="1">
      <alignment vertical="center"/>
      <protection/>
    </xf>
    <xf numFmtId="0" fontId="13" fillId="0" borderId="35" xfId="69" applyFont="1" applyBorder="1">
      <alignment vertical="center"/>
      <protection/>
    </xf>
    <xf numFmtId="0" fontId="13" fillId="0" borderId="0" xfId="69" applyFont="1" applyBorder="1">
      <alignment vertical="center"/>
      <protection/>
    </xf>
    <xf numFmtId="0" fontId="13" fillId="0" borderId="21" xfId="69" applyFont="1" applyBorder="1">
      <alignment vertical="center"/>
      <protection/>
    </xf>
    <xf numFmtId="0" fontId="2" fillId="0" borderId="35" xfId="69" applyFont="1" applyBorder="1">
      <alignment vertical="center"/>
      <protection/>
    </xf>
    <xf numFmtId="0" fontId="2" fillId="0" borderId="21" xfId="69" applyFont="1" applyBorder="1">
      <alignment vertical="center"/>
      <protection/>
    </xf>
    <xf numFmtId="0" fontId="2" fillId="0" borderId="63" xfId="69" applyFont="1" applyBorder="1">
      <alignment vertical="center"/>
      <protection/>
    </xf>
    <xf numFmtId="0" fontId="2" fillId="0" borderId="64" xfId="69" applyFont="1" applyBorder="1">
      <alignment vertical="center"/>
      <protection/>
    </xf>
    <xf numFmtId="0" fontId="2" fillId="0" borderId="65" xfId="69" applyFont="1" applyBorder="1">
      <alignment vertical="center"/>
      <protection/>
    </xf>
    <xf numFmtId="0" fontId="79" fillId="7" borderId="66" xfId="69" applyFont="1" applyFill="1" applyBorder="1" applyAlignment="1">
      <alignment horizontal="center" vertical="center"/>
      <protection/>
    </xf>
    <xf numFmtId="0" fontId="82" fillId="0" borderId="0" xfId="69" applyFont="1">
      <alignment vertical="center"/>
      <protection/>
    </xf>
    <xf numFmtId="191" fontId="0" fillId="0" borderId="19" xfId="68" applyNumberFormat="1" applyFont="1" applyBorder="1" applyAlignment="1">
      <alignment vertical="center"/>
      <protection/>
    </xf>
    <xf numFmtId="3" fontId="0" fillId="33" borderId="21" xfId="68" applyNumberFormat="1" applyFont="1" applyFill="1" applyBorder="1" applyAlignment="1">
      <alignment vertical="center"/>
      <protection/>
    </xf>
    <xf numFmtId="191" fontId="0" fillId="33" borderId="21" xfId="68" applyNumberFormat="1" applyFont="1" applyFill="1" applyBorder="1" applyAlignment="1">
      <alignment vertical="center" shrinkToFit="1"/>
      <protection/>
    </xf>
    <xf numFmtId="0" fontId="0" fillId="0" borderId="0" xfId="68" applyFont="1" applyBorder="1" applyAlignment="1">
      <alignment horizontal="center" vertical="center"/>
      <protection/>
    </xf>
    <xf numFmtId="191" fontId="0" fillId="35" borderId="67" xfId="68" applyNumberFormat="1" applyFont="1" applyFill="1" applyBorder="1" applyAlignment="1">
      <alignment vertical="center"/>
      <protection/>
    </xf>
    <xf numFmtId="191" fontId="0" fillId="35" borderId="68" xfId="68" applyNumberFormat="1" applyFont="1" applyFill="1" applyBorder="1" applyAlignment="1">
      <alignment vertical="center"/>
      <protection/>
    </xf>
    <xf numFmtId="0" fontId="0" fillId="0" borderId="0" xfId="68" applyFont="1" applyBorder="1" applyAlignment="1">
      <alignment horizontal="left" vertical="center"/>
      <protection/>
    </xf>
    <xf numFmtId="3" fontId="0" fillId="0" borderId="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191" fontId="7" fillId="0" borderId="20" xfId="68" applyNumberFormat="1" applyFont="1" applyBorder="1" applyAlignment="1">
      <alignment vertical="center" shrinkToFit="1"/>
      <protection/>
    </xf>
    <xf numFmtId="191" fontId="0" fillId="0" borderId="15" xfId="68" applyNumberFormat="1" applyFont="1" applyBorder="1" applyAlignment="1">
      <alignment vertical="center" wrapText="1"/>
      <protection/>
    </xf>
    <xf numFmtId="191" fontId="0" fillId="0" borderId="16" xfId="68" applyNumberFormat="1" applyFont="1" applyBorder="1" applyAlignment="1">
      <alignment vertical="center"/>
      <protection/>
    </xf>
    <xf numFmtId="191" fontId="0" fillId="0" borderId="19" xfId="68" applyNumberFormat="1" applyFont="1" applyBorder="1" applyAlignment="1">
      <alignment vertical="center" wrapText="1"/>
      <protection/>
    </xf>
    <xf numFmtId="191" fontId="0" fillId="0" borderId="69" xfId="68" applyNumberFormat="1" applyFont="1" applyBorder="1" applyAlignment="1">
      <alignment horizontal="center" vertical="center"/>
      <protection/>
    </xf>
    <xf numFmtId="191" fontId="0" fillId="0" borderId="0" xfId="68" applyNumberFormat="1" applyFont="1" applyAlignment="1">
      <alignment vertical="center"/>
      <protection/>
    </xf>
    <xf numFmtId="191" fontId="0" fillId="0" borderId="0" xfId="68" applyNumberFormat="1" applyFont="1" applyFill="1" applyBorder="1" applyAlignment="1" quotePrefix="1">
      <alignment vertical="center"/>
      <protection/>
    </xf>
    <xf numFmtId="191" fontId="0" fillId="0" borderId="0" xfId="68" applyNumberFormat="1" applyFont="1" applyBorder="1" applyAlignment="1">
      <alignment horizontal="left" vertical="center" shrinkToFit="1"/>
      <protection/>
    </xf>
    <xf numFmtId="191" fontId="0" fillId="0" borderId="30" xfId="68" applyNumberFormat="1" applyFont="1" applyBorder="1" applyAlignment="1">
      <alignment vertical="center" wrapText="1"/>
      <protection/>
    </xf>
    <xf numFmtId="185" fontId="16" fillId="0" borderId="0" xfId="67" applyNumberFormat="1" applyFont="1" applyAlignment="1">
      <alignment shrinkToFit="1"/>
      <protection/>
    </xf>
    <xf numFmtId="185" fontId="20" fillId="0" borderId="70" xfId="67" applyNumberFormat="1" applyFont="1" applyBorder="1" applyAlignment="1">
      <alignment horizontal="center" vertical="center" shrinkToFit="1"/>
      <protection/>
    </xf>
    <xf numFmtId="185" fontId="19" fillId="0" borderId="71" xfId="67" applyNumberFormat="1" applyFont="1" applyBorder="1" applyAlignment="1">
      <alignment horizontal="center" vertical="center" shrinkToFit="1"/>
      <protection/>
    </xf>
    <xf numFmtId="185" fontId="19" fillId="0" borderId="72" xfId="67" applyNumberFormat="1" applyFont="1" applyBorder="1" applyAlignment="1">
      <alignment horizontal="center" vertical="center" shrinkToFit="1"/>
      <protection/>
    </xf>
    <xf numFmtId="185" fontId="20" fillId="0" borderId="71" xfId="67" applyNumberFormat="1" applyFont="1" applyBorder="1" applyAlignment="1">
      <alignment horizontal="center" vertical="center" shrinkToFit="1"/>
      <protection/>
    </xf>
    <xf numFmtId="185" fontId="16" fillId="0" borderId="0" xfId="67" applyNumberFormat="1" applyFont="1" applyAlignment="1">
      <alignment vertical="top" shrinkToFit="1"/>
      <protection/>
    </xf>
    <xf numFmtId="185" fontId="2" fillId="0" borderId="73" xfId="67" applyNumberFormat="1" applyFont="1" applyBorder="1" applyAlignment="1">
      <alignment horizontal="center" vertical="center" shrinkToFit="1"/>
      <protection/>
    </xf>
    <xf numFmtId="185" fontId="16" fillId="0" borderId="74" xfId="67" applyNumberFormat="1" applyFont="1" applyBorder="1" applyAlignment="1">
      <alignment horizontal="right" vertical="center" shrinkToFit="1"/>
      <protection/>
    </xf>
    <xf numFmtId="10" fontId="16" fillId="0" borderId="75" xfId="45" applyNumberFormat="1" applyFont="1" applyBorder="1" applyAlignment="1">
      <alignment horizontal="center" vertical="center" shrinkToFit="1"/>
    </xf>
    <xf numFmtId="185" fontId="2" fillId="0" borderId="65" xfId="67" applyNumberFormat="1" applyFont="1" applyBorder="1" applyAlignment="1">
      <alignment horizontal="center" vertical="center" shrinkToFit="1"/>
      <protection/>
    </xf>
    <xf numFmtId="185" fontId="16" fillId="0" borderId="0" xfId="67" applyNumberFormat="1" applyFont="1" applyAlignment="1">
      <alignment vertical="center" shrinkToFit="1"/>
      <protection/>
    </xf>
    <xf numFmtId="185" fontId="2" fillId="0" borderId="76" xfId="67" applyNumberFormat="1" applyFont="1" applyBorder="1" applyAlignment="1">
      <alignment horizontal="center" vertical="center" shrinkToFit="1"/>
      <protection/>
    </xf>
    <xf numFmtId="185" fontId="16" fillId="0" borderId="66" xfId="67" applyNumberFormat="1" applyFont="1" applyBorder="1" applyAlignment="1">
      <alignment horizontal="right" vertical="center" shrinkToFit="1"/>
      <protection/>
    </xf>
    <xf numFmtId="10" fontId="16" fillId="0" borderId="77" xfId="45" applyNumberFormat="1" applyFont="1" applyBorder="1" applyAlignment="1">
      <alignment horizontal="center" vertical="center" shrinkToFit="1"/>
    </xf>
    <xf numFmtId="185" fontId="2" fillId="0" borderId="49" xfId="67" applyNumberFormat="1" applyFont="1" applyBorder="1" applyAlignment="1">
      <alignment horizontal="center" vertical="center" shrinkToFit="1"/>
      <protection/>
    </xf>
    <xf numFmtId="185" fontId="2" fillId="0" borderId="78" xfId="67" applyNumberFormat="1" applyFont="1" applyBorder="1" applyAlignment="1">
      <alignment horizontal="center" vertical="center" shrinkToFit="1"/>
      <protection/>
    </xf>
    <xf numFmtId="185" fontId="16" fillId="0" borderId="79" xfId="67" applyNumberFormat="1" applyFont="1" applyBorder="1" applyAlignment="1">
      <alignment horizontal="right" vertical="center" shrinkToFit="1"/>
      <protection/>
    </xf>
    <xf numFmtId="10" fontId="16" fillId="0" borderId="80" xfId="45" applyNumberFormat="1" applyFont="1" applyBorder="1" applyAlignment="1">
      <alignment horizontal="center" vertical="center" shrinkToFit="1"/>
    </xf>
    <xf numFmtId="185" fontId="19" fillId="0" borderId="81" xfId="67" applyNumberFormat="1" applyFont="1" applyBorder="1" applyAlignment="1">
      <alignment horizontal="center" vertical="center" shrinkToFit="1"/>
      <protection/>
    </xf>
    <xf numFmtId="185" fontId="20" fillId="0" borderId="82" xfId="67" applyNumberFormat="1" applyFont="1" applyBorder="1" applyAlignment="1">
      <alignment horizontal="right" vertical="center" shrinkToFit="1"/>
      <protection/>
    </xf>
    <xf numFmtId="10" fontId="20" fillId="0" borderId="83" xfId="45" applyNumberFormat="1" applyFont="1" applyBorder="1" applyAlignment="1">
      <alignment horizontal="center" vertical="center" shrinkToFit="1"/>
    </xf>
    <xf numFmtId="185" fontId="19" fillId="0" borderId="84" xfId="67" applyNumberFormat="1" applyFont="1" applyBorder="1" applyAlignment="1">
      <alignment horizontal="center" vertical="center" shrinkToFit="1"/>
      <protection/>
    </xf>
    <xf numFmtId="185" fontId="20" fillId="0" borderId="0" xfId="67" applyNumberFormat="1" applyFont="1" applyAlignment="1">
      <alignment horizontal="center" vertical="center"/>
      <protection/>
    </xf>
    <xf numFmtId="185" fontId="20" fillId="0" borderId="0" xfId="67" applyNumberFormat="1" applyFont="1" applyAlignment="1">
      <alignment vertical="center"/>
      <protection/>
    </xf>
    <xf numFmtId="191" fontId="0" fillId="0" borderId="0" xfId="68" applyNumberFormat="1" applyFont="1" applyAlignment="1">
      <alignment horizontal="right" shrinkToFit="1"/>
      <protection/>
    </xf>
    <xf numFmtId="191" fontId="0" fillId="33" borderId="0" xfId="68" applyNumberFormat="1" applyFont="1" applyFill="1" applyAlignment="1">
      <alignment horizontal="right" shrinkToFit="1"/>
      <protection/>
    </xf>
    <xf numFmtId="191" fontId="0" fillId="0" borderId="29" xfId="68" applyNumberFormat="1" applyFont="1" applyBorder="1" applyAlignment="1">
      <alignment horizontal="left" vertical="center"/>
      <protection/>
    </xf>
    <xf numFmtId="191" fontId="0" fillId="37" borderId="0" xfId="68" applyNumberFormat="1" applyFont="1" applyFill="1" applyBorder="1" applyAlignment="1">
      <alignment vertical="center"/>
      <protection/>
    </xf>
    <xf numFmtId="195" fontId="0" fillId="0" borderId="0" xfId="68" applyNumberFormat="1" applyFont="1" applyBorder="1" applyAlignment="1">
      <alignment vertical="center"/>
      <protection/>
    </xf>
    <xf numFmtId="191" fontId="0" fillId="0" borderId="29" xfId="68" applyNumberFormat="1" applyFont="1" applyBorder="1" applyAlignment="1">
      <alignment vertical="center" wrapText="1"/>
      <protection/>
    </xf>
    <xf numFmtId="191" fontId="0" fillId="35" borderId="85" xfId="68" applyNumberFormat="1" applyFont="1" applyFill="1" applyBorder="1" applyAlignment="1">
      <alignment vertical="center"/>
      <protection/>
    </xf>
    <xf numFmtId="191" fontId="0" fillId="0" borderId="36" xfId="68" applyNumberFormat="1" applyFont="1" applyBorder="1" applyAlignment="1">
      <alignment vertical="center"/>
      <protection/>
    </xf>
    <xf numFmtId="191" fontId="0" fillId="0" borderId="86" xfId="68" applyNumberFormat="1" applyFont="1" applyBorder="1" applyAlignment="1">
      <alignment vertical="center"/>
      <protection/>
    </xf>
    <xf numFmtId="191" fontId="0" fillId="0" borderId="29" xfId="68" applyNumberFormat="1" applyFont="1" applyBorder="1" applyAlignment="1">
      <alignment vertical="center" wrapText="1"/>
      <protection/>
    </xf>
    <xf numFmtId="191" fontId="0" fillId="0" borderId="21" xfId="68" applyNumberFormat="1" applyFont="1" applyBorder="1" applyAlignment="1">
      <alignment vertical="center"/>
      <protection/>
    </xf>
    <xf numFmtId="191" fontId="0" fillId="0" borderId="21" xfId="68" applyNumberFormat="1" applyFont="1" applyBorder="1" applyAlignment="1">
      <alignment vertical="center" wrapText="1"/>
      <protection/>
    </xf>
    <xf numFmtId="191" fontId="0" fillId="0" borderId="30" xfId="68" applyNumberFormat="1" applyFont="1" applyBorder="1" applyAlignment="1">
      <alignment vertical="center" wrapText="1"/>
      <protection/>
    </xf>
    <xf numFmtId="191" fontId="0" fillId="0" borderId="0" xfId="68" applyNumberFormat="1" applyFont="1" applyAlignment="1">
      <alignment horizontal="left" vertical="center"/>
      <protection/>
    </xf>
    <xf numFmtId="191" fontId="7" fillId="0" borderId="87" xfId="68" applyNumberFormat="1" applyFont="1" applyBorder="1" applyAlignment="1">
      <alignment vertical="center" shrinkToFit="1"/>
      <protection/>
    </xf>
    <xf numFmtId="191" fontId="0" fillId="0" borderId="0" xfId="68" applyNumberFormat="1" applyFont="1" applyAlignment="1" quotePrefix="1">
      <alignment vertical="center"/>
      <protection/>
    </xf>
    <xf numFmtId="191" fontId="0" fillId="0" borderId="86" xfId="68" applyNumberFormat="1" applyFont="1" applyBorder="1" applyAlignment="1">
      <alignment vertical="center" shrinkToFit="1"/>
      <protection/>
    </xf>
    <xf numFmtId="191" fontId="0" fillId="0" borderId="17" xfId="68" applyNumberFormat="1" applyFont="1" applyBorder="1" applyAlignment="1" quotePrefix="1">
      <alignment vertical="center"/>
      <protection/>
    </xf>
    <xf numFmtId="196" fontId="0" fillId="0" borderId="0" xfId="68" applyNumberFormat="1" applyFont="1" applyBorder="1" applyAlignment="1">
      <alignment horizontal="right" vertical="center"/>
      <protection/>
    </xf>
    <xf numFmtId="191" fontId="0" fillId="0" borderId="23" xfId="68" applyNumberFormat="1" applyFont="1" applyFill="1" applyBorder="1" applyAlignment="1">
      <alignment vertical="center" shrinkToFit="1"/>
      <protection/>
    </xf>
    <xf numFmtId="191" fontId="0" fillId="35" borderId="28" xfId="68" applyNumberFormat="1" applyFont="1" applyFill="1" applyBorder="1" applyAlignment="1">
      <alignment vertical="center"/>
      <protection/>
    </xf>
    <xf numFmtId="191" fontId="0" fillId="0" borderId="46" xfId="68" applyNumberFormat="1" applyFont="1" applyBorder="1" applyAlignment="1">
      <alignment vertical="center"/>
      <protection/>
    </xf>
    <xf numFmtId="191" fontId="0" fillId="0" borderId="23" xfId="68" applyNumberFormat="1" applyFont="1" applyFill="1" applyBorder="1" applyAlignment="1">
      <alignment horizontal="left" vertical="center" shrinkToFit="1"/>
      <protection/>
    </xf>
    <xf numFmtId="191" fontId="0" fillId="0" borderId="23" xfId="68" applyNumberFormat="1" applyFont="1" applyFill="1" applyBorder="1" applyAlignment="1">
      <alignment vertical="center"/>
      <protection/>
    </xf>
    <xf numFmtId="191" fontId="0" fillId="0" borderId="23" xfId="68" applyNumberFormat="1" applyFont="1" applyFill="1" applyBorder="1" applyAlignment="1">
      <alignment horizontal="left" vertical="center"/>
      <protection/>
    </xf>
    <xf numFmtId="191" fontId="0" fillId="0" borderId="23" xfId="68" applyNumberFormat="1" applyFont="1" applyFill="1" applyBorder="1" applyAlignment="1">
      <alignment horizontal="left" vertical="center"/>
      <protection/>
    </xf>
    <xf numFmtId="191" fontId="0" fillId="0" borderId="23" xfId="68" applyNumberFormat="1" applyFont="1" applyFill="1" applyBorder="1" applyAlignment="1" quotePrefix="1">
      <alignment vertical="center"/>
      <protection/>
    </xf>
    <xf numFmtId="191" fontId="0" fillId="0" borderId="86" xfId="68" applyNumberFormat="1" applyFont="1" applyFill="1" applyBorder="1" applyAlignment="1">
      <alignment vertical="center" shrinkToFit="1"/>
      <protection/>
    </xf>
    <xf numFmtId="0" fontId="77" fillId="0" borderId="0" xfId="69" applyFont="1" applyAlignment="1">
      <alignment horizontal="center" vertical="center"/>
      <protection/>
    </xf>
    <xf numFmtId="0" fontId="78" fillId="0" borderId="0" xfId="69" applyFont="1" applyAlignment="1">
      <alignment horizontal="center" vertical="center"/>
      <protection/>
    </xf>
    <xf numFmtId="0" fontId="83" fillId="0" borderId="0" xfId="69" applyFont="1" applyAlignment="1">
      <alignment horizontal="center" vertical="center"/>
      <protection/>
    </xf>
    <xf numFmtId="0" fontId="79" fillId="7" borderId="66" xfId="69" applyFont="1" applyFill="1" applyBorder="1" applyAlignment="1">
      <alignment horizontal="center" vertical="center"/>
      <protection/>
    </xf>
    <xf numFmtId="0" fontId="79" fillId="0" borderId="66" xfId="69" applyFont="1" applyBorder="1" applyAlignment="1">
      <alignment horizontal="center" vertical="center"/>
      <protection/>
    </xf>
    <xf numFmtId="41" fontId="79" fillId="0" borderId="66" xfId="50" applyFont="1" applyBorder="1" applyAlignment="1">
      <alignment vertical="center"/>
    </xf>
    <xf numFmtId="0" fontId="3" fillId="0" borderId="0" xfId="69" applyFont="1" applyAlignment="1">
      <alignment horizontal="center" vertical="center"/>
      <protection/>
    </xf>
    <xf numFmtId="0" fontId="82" fillId="0" borderId="0" xfId="69" applyFont="1" applyAlignment="1">
      <alignment horizontal="center" vertical="center"/>
      <protection/>
    </xf>
    <xf numFmtId="185" fontId="18" fillId="0" borderId="0" xfId="67" applyNumberFormat="1" applyFont="1" applyAlignment="1">
      <alignment horizontal="center" vertical="center"/>
      <protection/>
    </xf>
    <xf numFmtId="185" fontId="19" fillId="0" borderId="88" xfId="67" applyNumberFormat="1" applyFont="1" applyBorder="1" applyAlignment="1">
      <alignment horizontal="center" vertical="center" shrinkToFit="1"/>
      <protection/>
    </xf>
    <xf numFmtId="185" fontId="19" fillId="0" borderId="89" xfId="67" applyNumberFormat="1" applyFont="1" applyBorder="1" applyAlignment="1">
      <alignment horizontal="center" vertical="center" shrinkToFit="1"/>
      <protection/>
    </xf>
    <xf numFmtId="185" fontId="19" fillId="0" borderId="90" xfId="67" applyNumberFormat="1" applyFont="1" applyBorder="1" applyAlignment="1">
      <alignment horizontal="center" vertical="center" shrinkToFit="1"/>
      <protection/>
    </xf>
    <xf numFmtId="191" fontId="0" fillId="0" borderId="14" xfId="68" applyNumberFormat="1" applyFont="1" applyBorder="1" applyAlignment="1">
      <alignment horizontal="center" vertical="center"/>
      <protection/>
    </xf>
    <xf numFmtId="191" fontId="0" fillId="0" borderId="91" xfId="68" applyNumberFormat="1" applyFont="1" applyBorder="1" applyAlignment="1">
      <alignment horizontal="center" vertical="center"/>
      <protection/>
    </xf>
    <xf numFmtId="191" fontId="7" fillId="36" borderId="92" xfId="68" applyNumberFormat="1" applyFont="1" applyFill="1" applyBorder="1" applyAlignment="1">
      <alignment horizontal="center" vertical="center"/>
      <protection/>
    </xf>
    <xf numFmtId="191" fontId="7" fillId="36" borderId="48" xfId="68" applyNumberFormat="1" applyFont="1" applyFill="1" applyBorder="1" applyAlignment="1">
      <alignment horizontal="center" vertical="center"/>
      <protection/>
    </xf>
    <xf numFmtId="191" fontId="7" fillId="36" borderId="53" xfId="68" applyNumberFormat="1" applyFont="1" applyFill="1" applyBorder="1" applyAlignment="1">
      <alignment horizontal="center" vertical="center"/>
      <protection/>
    </xf>
    <xf numFmtId="191" fontId="0" fillId="35" borderId="32" xfId="68" applyNumberFormat="1" applyFont="1" applyFill="1" applyBorder="1" applyAlignment="1">
      <alignment horizontal="left" vertical="center"/>
      <protection/>
    </xf>
    <xf numFmtId="191" fontId="0" fillId="35" borderId="68" xfId="68" applyNumberFormat="1" applyFont="1" applyFill="1" applyBorder="1" applyAlignment="1">
      <alignment horizontal="left" vertical="center"/>
      <protection/>
    </xf>
    <xf numFmtId="191" fontId="0" fillId="0" borderId="12" xfId="68" applyNumberFormat="1" applyFont="1" applyBorder="1" applyAlignment="1">
      <alignment vertical="center"/>
      <protection/>
    </xf>
    <xf numFmtId="191" fontId="0" fillId="0" borderId="14" xfId="68" applyNumberFormat="1" applyFont="1" applyBorder="1" applyAlignment="1">
      <alignment vertical="center"/>
      <protection/>
    </xf>
    <xf numFmtId="191" fontId="0" fillId="0" borderId="36" xfId="68" applyNumberFormat="1" applyFont="1" applyBorder="1" applyAlignment="1">
      <alignment horizontal="center" vertical="center"/>
      <protection/>
    </xf>
    <xf numFmtId="191" fontId="0" fillId="35" borderId="32" xfId="68" applyNumberFormat="1" applyFont="1" applyFill="1" applyBorder="1" applyAlignment="1">
      <alignment horizontal="left" vertical="center"/>
      <protection/>
    </xf>
    <xf numFmtId="191" fontId="0" fillId="34" borderId="93" xfId="68" applyNumberFormat="1" applyFont="1" applyFill="1" applyBorder="1" applyAlignment="1">
      <alignment horizontal="left" vertical="center"/>
      <protection/>
    </xf>
    <xf numFmtId="191" fontId="0" fillId="34" borderId="42" xfId="68" applyNumberFormat="1" applyFont="1" applyFill="1" applyBorder="1" applyAlignment="1">
      <alignment horizontal="left" vertical="center"/>
      <protection/>
    </xf>
    <xf numFmtId="191" fontId="0" fillId="34" borderId="85" xfId="68" applyNumberFormat="1" applyFont="1" applyFill="1" applyBorder="1" applyAlignment="1">
      <alignment horizontal="left" vertical="center"/>
      <protection/>
    </xf>
    <xf numFmtId="191" fontId="0" fillId="0" borderId="45" xfId="68" applyNumberFormat="1" applyFont="1" applyBorder="1" applyAlignment="1">
      <alignment horizontal="center" vertical="center"/>
      <protection/>
    </xf>
    <xf numFmtId="191" fontId="0" fillId="0" borderId="35" xfId="68" applyNumberFormat="1" applyFont="1" applyBorder="1" applyAlignment="1">
      <alignment horizontal="center" vertical="center"/>
      <protection/>
    </xf>
    <xf numFmtId="191" fontId="0" fillId="0" borderId="63" xfId="68" applyNumberFormat="1" applyFont="1" applyBorder="1" applyAlignment="1">
      <alignment horizontal="center" vertical="center"/>
      <protection/>
    </xf>
    <xf numFmtId="191" fontId="0" fillId="0" borderId="15" xfId="68" applyNumberFormat="1" applyFont="1" applyBorder="1" applyAlignment="1">
      <alignment horizontal="center" vertical="center"/>
      <protection/>
    </xf>
    <xf numFmtId="191" fontId="0" fillId="0" borderId="19" xfId="68" applyNumberFormat="1" applyFont="1" applyBorder="1" applyAlignment="1">
      <alignment horizontal="center" vertical="center"/>
      <protection/>
    </xf>
    <xf numFmtId="191" fontId="0" fillId="34" borderId="93" xfId="68" applyNumberFormat="1" applyFont="1" applyFill="1" applyBorder="1" applyAlignment="1">
      <alignment horizontal="left" vertical="center" wrapText="1"/>
      <protection/>
    </xf>
    <xf numFmtId="191" fontId="0" fillId="34" borderId="42" xfId="68" applyNumberFormat="1" applyFont="1" applyFill="1" applyBorder="1" applyAlignment="1">
      <alignment horizontal="left" vertical="center" wrapText="1"/>
      <protection/>
    </xf>
    <xf numFmtId="191" fontId="0" fillId="34" borderId="85" xfId="68" applyNumberFormat="1" applyFont="1" applyFill="1" applyBorder="1" applyAlignment="1">
      <alignment horizontal="left" vertical="center" wrapText="1"/>
      <protection/>
    </xf>
    <xf numFmtId="191" fontId="0" fillId="0" borderId="24" xfId="68" applyNumberFormat="1" applyFont="1" applyBorder="1" applyAlignment="1">
      <alignment horizontal="center" vertical="center"/>
      <protection/>
    </xf>
    <xf numFmtId="191" fontId="0" fillId="0" borderId="19" xfId="68" applyNumberFormat="1" applyFont="1" applyBorder="1" applyAlignment="1">
      <alignment vertical="center" wrapText="1"/>
      <protection/>
    </xf>
    <xf numFmtId="191" fontId="0" fillId="0" borderId="22" xfId="68" applyNumberFormat="1" applyFont="1" applyBorder="1" applyAlignment="1">
      <alignment vertical="center" wrapText="1"/>
      <protection/>
    </xf>
    <xf numFmtId="191" fontId="0" fillId="35" borderId="32" xfId="68" applyNumberFormat="1" applyFont="1" applyFill="1" applyBorder="1" applyAlignment="1">
      <alignment horizontal="left" vertical="center" wrapText="1"/>
      <protection/>
    </xf>
    <xf numFmtId="191" fontId="0" fillId="35" borderId="68" xfId="68" applyNumberFormat="1" applyFont="1" applyFill="1" applyBorder="1" applyAlignment="1">
      <alignment horizontal="left" vertical="center" wrapText="1"/>
      <protection/>
    </xf>
    <xf numFmtId="191" fontId="0" fillId="0" borderId="24" xfId="68" applyNumberFormat="1" applyFont="1" applyBorder="1" applyAlignment="1">
      <alignment vertical="center" wrapText="1"/>
      <protection/>
    </xf>
    <xf numFmtId="191" fontId="72" fillId="0" borderId="0" xfId="68" applyNumberFormat="1" applyFont="1" applyAlignment="1">
      <alignment horizontal="center" vertical="center"/>
      <protection/>
    </xf>
    <xf numFmtId="191" fontId="0" fillId="0" borderId="40" xfId="68" applyNumberFormat="1" applyFont="1" applyBorder="1" applyAlignment="1">
      <alignment horizontal="center" vertical="center"/>
      <protection/>
    </xf>
    <xf numFmtId="191" fontId="0" fillId="0" borderId="50" xfId="68" applyNumberFormat="1" applyFont="1" applyBorder="1" applyAlignment="1">
      <alignment horizontal="center" vertical="center"/>
      <protection/>
    </xf>
    <xf numFmtId="191" fontId="0" fillId="0" borderId="11" xfId="68" applyNumberFormat="1" applyFont="1" applyBorder="1" applyAlignment="1">
      <alignment horizontal="center" vertical="center"/>
      <protection/>
    </xf>
    <xf numFmtId="191" fontId="0" fillId="0" borderId="94" xfId="68" applyNumberFormat="1" applyFont="1" applyBorder="1" applyAlignment="1">
      <alignment horizontal="center" vertical="center"/>
      <protection/>
    </xf>
    <xf numFmtId="191" fontId="0" fillId="0" borderId="40" xfId="68" applyNumberFormat="1" applyFont="1" applyBorder="1" applyAlignment="1">
      <alignment horizontal="center" vertical="center" wrapText="1"/>
      <protection/>
    </xf>
    <xf numFmtId="191" fontId="0" fillId="0" borderId="11" xfId="68" applyNumberFormat="1" applyFont="1" applyBorder="1" applyAlignment="1">
      <alignment horizontal="center" vertical="center" wrapText="1"/>
      <protection/>
    </xf>
    <xf numFmtId="191" fontId="0" fillId="0" borderId="40" xfId="68" applyNumberFormat="1" applyFont="1" applyBorder="1" applyAlignment="1">
      <alignment horizontal="center" vertical="center"/>
      <protection/>
    </xf>
    <xf numFmtId="191" fontId="0" fillId="0" borderId="40" xfId="68" applyNumberFormat="1" applyFont="1" applyBorder="1" applyAlignment="1">
      <alignment horizontal="center" vertical="center" wrapText="1"/>
      <protection/>
    </xf>
    <xf numFmtId="191" fontId="0" fillId="0" borderId="93" xfId="68" applyNumberFormat="1" applyFont="1" applyBorder="1" applyAlignment="1">
      <alignment horizontal="center" vertical="center"/>
      <protection/>
    </xf>
    <xf numFmtId="191" fontId="0" fillId="0" borderId="42" xfId="68" applyNumberFormat="1" applyFont="1" applyBorder="1" applyAlignment="1">
      <alignment horizontal="center" vertical="center"/>
      <protection/>
    </xf>
    <xf numFmtId="191" fontId="0" fillId="0" borderId="85" xfId="68" applyNumberFormat="1" applyFont="1" applyBorder="1" applyAlignment="1">
      <alignment horizontal="center" vertical="center"/>
      <protection/>
    </xf>
    <xf numFmtId="191" fontId="0" fillId="35" borderId="33" xfId="68" applyNumberFormat="1" applyFont="1" applyFill="1" applyBorder="1" applyAlignment="1">
      <alignment horizontal="left" vertical="center"/>
      <protection/>
    </xf>
    <xf numFmtId="191" fontId="0" fillId="0" borderId="13" xfId="68" applyNumberFormat="1" applyFont="1" applyFill="1" applyBorder="1" applyAlignment="1">
      <alignment horizontal="center" vertical="center"/>
      <protection/>
    </xf>
    <xf numFmtId="191" fontId="7" fillId="0" borderId="13" xfId="68" applyNumberFormat="1" applyFont="1" applyFill="1" applyBorder="1" applyAlignment="1">
      <alignment horizontal="center" vertical="center"/>
      <protection/>
    </xf>
    <xf numFmtId="191" fontId="0" fillId="35" borderId="41" xfId="68" applyNumberFormat="1" applyFont="1" applyFill="1" applyBorder="1" applyAlignment="1">
      <alignment horizontal="left" vertical="center"/>
      <protection/>
    </xf>
    <xf numFmtId="191" fontId="0" fillId="35" borderId="42" xfId="68" applyNumberFormat="1" applyFont="1" applyFill="1" applyBorder="1" applyAlignment="1">
      <alignment horizontal="left" vertical="center"/>
      <protection/>
    </xf>
    <xf numFmtId="191" fontId="0" fillId="34" borderId="92" xfId="68" applyNumberFormat="1" applyFont="1" applyFill="1" applyBorder="1" applyAlignment="1">
      <alignment horizontal="left" vertical="center"/>
      <protection/>
    </xf>
    <xf numFmtId="191" fontId="0" fillId="34" borderId="48" xfId="68" applyNumberFormat="1" applyFont="1" applyFill="1" applyBorder="1" applyAlignment="1">
      <alignment horizontal="left" vertical="center"/>
      <protection/>
    </xf>
    <xf numFmtId="191" fontId="0" fillId="0" borderId="13" xfId="68" applyNumberFormat="1" applyFont="1" applyBorder="1" applyAlignment="1">
      <alignment horizontal="center" vertical="center"/>
      <protection/>
    </xf>
    <xf numFmtId="191" fontId="0" fillId="0" borderId="58" xfId="68" applyNumberFormat="1" applyFont="1" applyFill="1" applyBorder="1" applyAlignment="1">
      <alignment horizontal="center" vertical="center"/>
      <protection/>
    </xf>
    <xf numFmtId="191" fontId="0" fillId="0" borderId="31" xfId="68" applyNumberFormat="1" applyFont="1" applyFill="1" applyBorder="1" applyAlignment="1">
      <alignment horizontal="center" vertical="center"/>
      <protection/>
    </xf>
    <xf numFmtId="191" fontId="0" fillId="0" borderId="67" xfId="68" applyNumberFormat="1" applyFont="1" applyBorder="1" applyAlignment="1">
      <alignment horizontal="center" vertical="center" shrinkToFit="1"/>
      <protection/>
    </xf>
    <xf numFmtId="191" fontId="0" fillId="0" borderId="13" xfId="68" applyNumberFormat="1" applyFont="1" applyBorder="1" applyAlignment="1">
      <alignment horizontal="center" vertical="center" shrinkToFit="1"/>
      <protection/>
    </xf>
    <xf numFmtId="191" fontId="0" fillId="35" borderId="43" xfId="68" applyNumberFormat="1" applyFont="1" applyFill="1" applyBorder="1" applyAlignment="1">
      <alignment horizontal="left" vertical="center"/>
      <protection/>
    </xf>
    <xf numFmtId="191" fontId="0" fillId="0" borderId="61" xfId="68" applyNumberFormat="1" applyFont="1" applyBorder="1" applyAlignment="1">
      <alignment horizontal="center" vertical="center"/>
      <protection/>
    </xf>
    <xf numFmtId="191" fontId="0" fillId="0" borderId="62" xfId="68" applyNumberFormat="1" applyFont="1" applyBorder="1" applyAlignment="1">
      <alignment horizontal="center" vertical="center"/>
      <protection/>
    </xf>
    <xf numFmtId="191" fontId="0" fillId="0" borderId="64" xfId="68" applyNumberFormat="1" applyFont="1" applyBorder="1" applyAlignment="1">
      <alignment horizontal="center" vertical="center"/>
      <protection/>
    </xf>
    <xf numFmtId="191" fontId="0" fillId="0" borderId="65" xfId="68" applyNumberFormat="1" applyFont="1" applyBorder="1" applyAlignment="1">
      <alignment horizontal="center" vertical="center"/>
      <protection/>
    </xf>
    <xf numFmtId="191" fontId="0" fillId="34" borderId="48" xfId="68" applyNumberFormat="1" applyFont="1" applyFill="1" applyBorder="1" applyAlignment="1">
      <alignment vertical="center"/>
      <protection/>
    </xf>
    <xf numFmtId="191" fontId="0" fillId="34" borderId="49" xfId="68" applyNumberFormat="1" applyFont="1" applyFill="1" applyBorder="1" applyAlignment="1">
      <alignment vertical="center"/>
      <protection/>
    </xf>
    <xf numFmtId="191" fontId="0" fillId="35" borderId="23" xfId="68" applyNumberFormat="1" applyFont="1" applyFill="1" applyBorder="1" applyAlignment="1">
      <alignment vertical="center"/>
      <protection/>
    </xf>
    <xf numFmtId="191" fontId="0" fillId="35" borderId="0" xfId="68" applyNumberFormat="1" applyFont="1" applyFill="1" applyBorder="1" applyAlignment="1">
      <alignment vertical="center"/>
      <protection/>
    </xf>
    <xf numFmtId="191" fontId="0" fillId="35" borderId="21" xfId="68" applyNumberFormat="1" applyFont="1" applyFill="1" applyBorder="1" applyAlignment="1">
      <alignment vertical="center"/>
      <protection/>
    </xf>
    <xf numFmtId="191" fontId="7" fillId="36" borderId="49" xfId="68" applyNumberFormat="1" applyFont="1" applyFill="1" applyBorder="1" applyAlignment="1">
      <alignment horizontal="center" vertical="center"/>
      <protection/>
    </xf>
    <xf numFmtId="191" fontId="0" fillId="34" borderId="49" xfId="68" applyNumberFormat="1" applyFont="1" applyFill="1" applyBorder="1" applyAlignment="1">
      <alignment horizontal="left" vertical="center"/>
      <protection/>
    </xf>
    <xf numFmtId="191" fontId="0" fillId="34" borderId="92" xfId="68" applyNumberFormat="1" applyFont="1" applyFill="1" applyBorder="1" applyAlignment="1">
      <alignment horizontal="left" vertical="center"/>
      <protection/>
    </xf>
    <xf numFmtId="191" fontId="0" fillId="34" borderId="92" xfId="68" applyNumberFormat="1" applyFont="1" applyFill="1" applyBorder="1" applyAlignment="1">
      <alignment horizontal="left" vertical="center" wrapText="1"/>
      <protection/>
    </xf>
    <xf numFmtId="191" fontId="0" fillId="34" borderId="48" xfId="68" applyNumberFormat="1" applyFont="1" applyFill="1" applyBorder="1" applyAlignment="1">
      <alignment horizontal="left" vertical="center" wrapText="1"/>
      <protection/>
    </xf>
    <xf numFmtId="191" fontId="0" fillId="35" borderId="46" xfId="68" applyNumberFormat="1" applyFont="1" applyFill="1" applyBorder="1" applyAlignment="1">
      <alignment horizontal="left" vertical="center" wrapText="1"/>
      <protection/>
    </xf>
    <xf numFmtId="191" fontId="0" fillId="35" borderId="23" xfId="68" applyNumberFormat="1" applyFont="1" applyFill="1" applyBorder="1" applyAlignment="1">
      <alignment horizontal="left" vertical="center" wrapText="1"/>
      <protection/>
    </xf>
    <xf numFmtId="191" fontId="0" fillId="0" borderId="50" xfId="68" applyNumberFormat="1" applyFont="1" applyBorder="1" applyAlignment="1">
      <alignment horizontal="center" vertical="center" wrapText="1"/>
      <protection/>
    </xf>
    <xf numFmtId="191" fontId="0" fillId="0" borderId="94" xfId="68" applyNumberFormat="1" applyFont="1" applyBorder="1" applyAlignment="1">
      <alignment horizontal="center" vertical="center" wrapText="1"/>
      <protection/>
    </xf>
    <xf numFmtId="191" fontId="0" fillId="0" borderId="55" xfId="68" applyNumberFormat="1" applyFont="1" applyBorder="1" applyAlignment="1">
      <alignment horizontal="center" vertical="center"/>
      <protection/>
    </xf>
    <xf numFmtId="191" fontId="0" fillId="0" borderId="10" xfId="68" applyNumberFormat="1" applyFont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urrency1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백분율 2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임직원" xfId="63"/>
    <cellStyle name="콤마_임직원" xfId="64"/>
    <cellStyle name="Currency" xfId="65"/>
    <cellStyle name="Currency [0]" xfId="66"/>
    <cellStyle name="표준 2" xfId="67"/>
    <cellStyle name="표준_2001년예산_여천고" xfId="68"/>
    <cellStyle name="표준_진상회계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123825</xdr:rowOff>
    </xdr:from>
    <xdr:to>
      <xdr:col>4</xdr:col>
      <xdr:colOff>342900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304925" y="590550"/>
          <a:ext cx="18097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C\LOCALS~1\Temp\Handy\&#46160;&#47336;&#48120;\&#47928;&#49436;\&#54617;&#44368;&#54924;&#44228;\&#44553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관별"/>
      <sheetName val="세입"/>
      <sheetName val="세출"/>
      <sheetName val="성질"/>
      <sheetName val="조정우선순위_삭감"/>
      <sheetName val="가용재원"/>
      <sheetName val="가용재원 (2)"/>
      <sheetName val="배분액표"/>
      <sheetName val="기본운영비"/>
      <sheetName val="시설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"/>
  <cols>
    <col min="1" max="16384" width="11.421875" style="66" customWidth="1"/>
  </cols>
  <sheetData>
    <row r="1" ht="16.5" customHeight="1"/>
    <row r="2" ht="16.5" customHeight="1"/>
    <row r="3" ht="15.75" customHeight="1"/>
    <row r="4" spans="1:2" s="209" customFormat="1" ht="24" customHeight="1">
      <c r="A4" s="207" t="s">
        <v>417</v>
      </c>
      <c r="B4" s="208"/>
    </row>
    <row r="5" spans="1:2" s="209" customFormat="1" ht="16.5" customHeight="1">
      <c r="A5" s="210"/>
      <c r="B5" s="210"/>
    </row>
    <row r="6" s="209" customFormat="1" ht="16.5" customHeight="1"/>
    <row r="7" s="209" customFormat="1" ht="16.5"/>
    <row r="8" spans="1:8" s="209" customFormat="1" ht="46.5" customHeight="1">
      <c r="A8" s="211" t="s">
        <v>368</v>
      </c>
      <c r="B8" s="211"/>
      <c r="C8" s="211"/>
      <c r="D8" s="211"/>
      <c r="E8" s="211"/>
      <c r="F8" s="211"/>
      <c r="G8" s="211"/>
      <c r="H8" s="211"/>
    </row>
    <row r="9" spans="1:8" s="209" customFormat="1" ht="31.5">
      <c r="A9" s="211"/>
      <c r="B9" s="211"/>
      <c r="C9" s="211"/>
      <c r="D9" s="211"/>
      <c r="E9" s="211"/>
      <c r="F9" s="211"/>
      <c r="G9" s="211"/>
      <c r="H9" s="211"/>
    </row>
    <row r="10" spans="1:8" s="209" customFormat="1" ht="31.5">
      <c r="A10" s="211"/>
      <c r="B10" s="211"/>
      <c r="C10" s="211"/>
      <c r="D10" s="211"/>
      <c r="E10" s="211"/>
      <c r="F10" s="211"/>
      <c r="G10" s="211"/>
      <c r="H10" s="211"/>
    </row>
    <row r="11" spans="1:8" ht="25.5">
      <c r="A11" s="67"/>
      <c r="B11" s="67"/>
      <c r="C11" s="67"/>
      <c r="D11" s="67"/>
      <c r="E11" s="67"/>
      <c r="F11" s="67"/>
      <c r="G11" s="67"/>
      <c r="H11" s="67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spans="1:7" s="209" customFormat="1" ht="66" customHeight="1">
      <c r="A22" s="214" t="s">
        <v>371</v>
      </c>
      <c r="B22" s="211"/>
      <c r="C22" s="211"/>
      <c r="D22" s="211"/>
      <c r="E22" s="211"/>
      <c r="F22" s="211"/>
      <c r="G22" s="211"/>
    </row>
    <row r="23" spans="1:7" ht="23.25" customHeight="1">
      <c r="A23" s="67"/>
      <c r="B23" s="67"/>
      <c r="C23" s="67"/>
      <c r="D23" s="67"/>
      <c r="E23" s="67"/>
      <c r="F23" s="67"/>
      <c r="G23" s="67"/>
    </row>
    <row r="24" spans="1:7" ht="23.25" customHeight="1">
      <c r="A24" s="68"/>
      <c r="B24" s="68"/>
      <c r="C24" s="68"/>
      <c r="D24" s="68"/>
      <c r="E24" s="68"/>
      <c r="F24" s="68"/>
      <c r="G24" s="68"/>
    </row>
  </sheetData>
  <sheetProtection/>
  <printOptions horizontalCentered="1"/>
  <pageMargins left="0.4330708661417323" right="0.2362204724409449" top="1.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zoomScaleSheetLayoutView="100" zoomScalePageLayoutView="0" workbookViewId="0" topLeftCell="A1">
      <selection activeCell="B9" sqref="B9"/>
    </sheetView>
  </sheetViews>
  <sheetFormatPr defaultColWidth="11.421875" defaultRowHeight="12"/>
  <cols>
    <col min="1" max="1" width="2.00390625" style="66" customWidth="1"/>
    <col min="2" max="3" width="11.421875" style="66" customWidth="1"/>
    <col min="4" max="4" width="16.7109375" style="66" customWidth="1"/>
    <col min="5" max="6" width="11.421875" style="66" customWidth="1"/>
    <col min="7" max="7" width="15.140625" style="66" customWidth="1"/>
    <col min="8" max="8" width="12.140625" style="66" customWidth="1"/>
    <col min="9" max="16384" width="11.421875" style="66" customWidth="1"/>
  </cols>
  <sheetData>
    <row r="2" spans="3:6" s="209" customFormat="1" ht="23.25" customHeight="1">
      <c r="C2" s="212" t="s">
        <v>105</v>
      </c>
      <c r="D2" s="212" t="s">
        <v>105</v>
      </c>
      <c r="E2" s="209" t="s">
        <v>235</v>
      </c>
      <c r="F2" s="212"/>
    </row>
    <row r="3" spans="3:6" ht="23.25" customHeight="1">
      <c r="C3" s="69"/>
      <c r="D3" s="69"/>
      <c r="E3" s="69"/>
      <c r="F3" s="69"/>
    </row>
    <row r="4" spans="4:5" ht="36.75" customHeight="1">
      <c r="D4" s="212" t="s">
        <v>234</v>
      </c>
      <c r="E4" s="212" t="s">
        <v>105</v>
      </c>
    </row>
    <row r="5" ht="34.5" customHeight="1"/>
    <row r="6" ht="37.5" customHeight="1"/>
    <row r="7" s="215" customFormat="1" ht="33.75" customHeight="1">
      <c r="B7" s="216" t="s">
        <v>238</v>
      </c>
    </row>
    <row r="8" s="215" customFormat="1" ht="33.75" customHeight="1">
      <c r="B8" s="216" t="s">
        <v>418</v>
      </c>
    </row>
    <row r="9" s="215" customFormat="1" ht="33.75" customHeight="1">
      <c r="B9" s="216" t="s">
        <v>236</v>
      </c>
    </row>
    <row r="10" s="215" customFormat="1" ht="33.75" customHeight="1">
      <c r="B10" s="216" t="s">
        <v>237</v>
      </c>
    </row>
    <row r="11" spans="1:10" s="70" customFormat="1" ht="19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s="70" customFormat="1" ht="19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s="70" customFormat="1" ht="19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s="70" customFormat="1" ht="19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s="70" customFormat="1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s="70" customFormat="1" ht="24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s="70" customFormat="1" ht="24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s="70" customFormat="1" ht="13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s="70" customFormat="1" ht="19.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s="70" customFormat="1" ht="21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s="70" customFormat="1" ht="21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s="70" customFormat="1" ht="12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s="70" customFormat="1" ht="27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s="70" customFormat="1" ht="27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s="70" customFormat="1" ht="27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s="70" customFormat="1" ht="27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s="70" customFormat="1" ht="27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s="70" customFormat="1" ht="27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="70" customFormat="1" ht="27" customHeight="1"/>
  </sheetData>
  <sheetProtection/>
  <printOptions horizontalCentered="1"/>
  <pageMargins left="0.7874015748031497" right="0.7480314960629921" top="1.220472440944882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2" sqref="A12:G12"/>
    </sheetView>
  </sheetViews>
  <sheetFormatPr defaultColWidth="9.140625" defaultRowHeight="12"/>
  <cols>
    <col min="1" max="6" width="9.8515625" style="0" customWidth="1"/>
    <col min="7" max="7" width="21.8515625" style="0" customWidth="1"/>
  </cols>
  <sheetData>
    <row r="1" spans="1:7" ht="34.5" customHeight="1">
      <c r="A1" s="217"/>
      <c r="B1" s="217"/>
      <c r="C1" s="217"/>
      <c r="D1" s="217"/>
      <c r="E1" s="217"/>
      <c r="F1" s="217"/>
      <c r="G1" s="217"/>
    </row>
    <row r="2" spans="1:7" ht="34.5" customHeight="1">
      <c r="A2" s="217"/>
      <c r="B2" s="217"/>
      <c r="C2" s="217"/>
      <c r="D2" s="217"/>
      <c r="E2" s="217"/>
      <c r="F2" s="217"/>
      <c r="G2" s="217"/>
    </row>
    <row r="3" spans="1:7" ht="34.5" customHeight="1">
      <c r="A3" s="207" t="s">
        <v>419</v>
      </c>
      <c r="B3" s="208"/>
      <c r="C3" s="209"/>
      <c r="D3" s="209"/>
      <c r="E3" s="209"/>
      <c r="F3" s="209"/>
      <c r="G3" s="209"/>
    </row>
    <row r="4" spans="1:7" ht="34.5" customHeight="1">
      <c r="A4" s="326" t="s">
        <v>338</v>
      </c>
      <c r="B4" s="326"/>
      <c r="C4" s="326"/>
      <c r="D4" s="326"/>
      <c r="E4" s="326"/>
      <c r="F4" s="326"/>
      <c r="G4" s="326"/>
    </row>
    <row r="5" spans="1:7" ht="21.75" customHeight="1">
      <c r="A5" s="218"/>
      <c r="B5" s="218"/>
      <c r="C5" s="218"/>
      <c r="D5" s="218"/>
      <c r="E5" s="218"/>
      <c r="F5" s="218"/>
      <c r="G5" s="218"/>
    </row>
    <row r="6" spans="1:7" ht="22.5" customHeight="1">
      <c r="A6" s="218"/>
      <c r="B6" s="218"/>
      <c r="C6" s="218"/>
      <c r="D6" s="218"/>
      <c r="E6" s="218"/>
      <c r="F6" s="218"/>
      <c r="G6" s="218"/>
    </row>
    <row r="7" spans="1:7" ht="19.5" customHeight="1">
      <c r="A7" s="217"/>
      <c r="B7" s="217"/>
      <c r="C7" s="217"/>
      <c r="D7" s="217"/>
      <c r="E7" s="217"/>
      <c r="F7" s="217"/>
      <c r="G7" s="217"/>
    </row>
    <row r="8" spans="1:7" ht="28.5" customHeight="1">
      <c r="A8" s="327" t="s">
        <v>240</v>
      </c>
      <c r="B8" s="327"/>
      <c r="C8" s="327"/>
      <c r="D8" s="327"/>
      <c r="E8" s="327"/>
      <c r="F8" s="327"/>
      <c r="G8" s="327"/>
    </row>
    <row r="9" spans="1:7" ht="34.5" customHeight="1">
      <c r="A9" s="327" t="s">
        <v>420</v>
      </c>
      <c r="B9" s="327"/>
      <c r="C9" s="327"/>
      <c r="D9" s="327"/>
      <c r="E9" s="327"/>
      <c r="F9" s="327"/>
      <c r="G9" s="327"/>
    </row>
    <row r="10" spans="1:7" ht="26.25" customHeight="1">
      <c r="A10" s="217"/>
      <c r="B10" s="217"/>
      <c r="C10" s="219"/>
      <c r="D10" s="219"/>
      <c r="E10" s="219"/>
      <c r="F10" s="219"/>
      <c r="G10" s="219"/>
    </row>
    <row r="11" spans="1:7" ht="34.5" customHeight="1">
      <c r="A11" s="327" t="s">
        <v>241</v>
      </c>
      <c r="B11" s="327"/>
      <c r="C11" s="327"/>
      <c r="D11" s="327"/>
      <c r="E11" s="327"/>
      <c r="F11" s="327"/>
      <c r="G11" s="327"/>
    </row>
    <row r="12" spans="1:7" ht="34.5" customHeight="1">
      <c r="A12" s="327" t="s">
        <v>420</v>
      </c>
      <c r="B12" s="327"/>
      <c r="C12" s="327"/>
      <c r="D12" s="327"/>
      <c r="E12" s="327"/>
      <c r="F12" s="327"/>
      <c r="G12" s="327"/>
    </row>
    <row r="13" spans="1:7" ht="21.75" customHeight="1">
      <c r="A13" s="217"/>
      <c r="B13" s="217"/>
      <c r="C13" s="217"/>
      <c r="D13" s="217"/>
      <c r="E13" s="217"/>
      <c r="F13" s="217"/>
      <c r="G13" s="217"/>
    </row>
    <row r="14" spans="1:7" ht="21" customHeight="1">
      <c r="A14" s="217"/>
      <c r="B14" s="217"/>
      <c r="C14" s="217"/>
      <c r="D14" s="217"/>
      <c r="E14" s="217"/>
      <c r="F14" s="217"/>
      <c r="G14" s="217"/>
    </row>
    <row r="15" spans="1:7" ht="20.25" customHeight="1">
      <c r="A15" s="217"/>
      <c r="B15" s="217"/>
      <c r="C15" s="217"/>
      <c r="D15" s="217"/>
      <c r="E15" s="217"/>
      <c r="F15" s="217"/>
      <c r="G15" s="217"/>
    </row>
    <row r="16" spans="1:7" ht="19.5" customHeight="1">
      <c r="A16" s="217"/>
      <c r="B16" s="217"/>
      <c r="C16" s="217"/>
      <c r="D16" s="217"/>
      <c r="E16" s="217"/>
      <c r="F16" s="217"/>
      <c r="G16" s="217"/>
    </row>
    <row r="17" spans="1:7" ht="19.5" customHeight="1">
      <c r="A17" s="217"/>
      <c r="B17" s="217"/>
      <c r="C17" s="217"/>
      <c r="D17" s="217"/>
      <c r="E17" s="217"/>
      <c r="F17" s="217"/>
      <c r="G17" s="217"/>
    </row>
    <row r="18" spans="1:7" ht="19.5" customHeight="1">
      <c r="A18" s="217"/>
      <c r="B18" s="217"/>
      <c r="C18" s="217"/>
      <c r="D18" s="217"/>
      <c r="E18" s="217"/>
      <c r="F18" s="217"/>
      <c r="G18" s="217"/>
    </row>
    <row r="19" spans="1:7" ht="34.5" customHeight="1">
      <c r="A19" s="328" t="s">
        <v>239</v>
      </c>
      <c r="B19" s="328"/>
      <c r="C19" s="328"/>
      <c r="D19" s="328"/>
      <c r="E19" s="328"/>
      <c r="F19" s="328"/>
      <c r="G19" s="328"/>
    </row>
  </sheetData>
  <sheetProtection/>
  <mergeCells count="6">
    <mergeCell ref="A4:G4"/>
    <mergeCell ref="A8:G8"/>
    <mergeCell ref="A9:G9"/>
    <mergeCell ref="A11:G11"/>
    <mergeCell ref="A12:G12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B14" sqref="B14"/>
    </sheetView>
  </sheetViews>
  <sheetFormatPr defaultColWidth="11.421875" defaultRowHeight="12"/>
  <cols>
    <col min="1" max="1" width="9.8515625" style="66" customWidth="1"/>
    <col min="2" max="3" width="11.421875" style="66" customWidth="1"/>
    <col min="4" max="4" width="12.57421875" style="66" customWidth="1"/>
    <col min="5" max="5" width="18.57421875" style="66" customWidth="1"/>
    <col min="6" max="6" width="12.140625" style="66" customWidth="1"/>
    <col min="7" max="7" width="14.28125" style="66" customWidth="1"/>
    <col min="8" max="8" width="12.140625" style="66" customWidth="1"/>
    <col min="9" max="16384" width="11.421875" style="66" customWidth="1"/>
  </cols>
  <sheetData>
    <row r="1" spans="1:7" ht="23.25" customHeight="1">
      <c r="A1" s="332"/>
      <c r="B1" s="332"/>
      <c r="C1" s="332"/>
      <c r="D1" s="332"/>
      <c r="E1" s="332"/>
      <c r="F1" s="332"/>
      <c r="G1" s="332"/>
    </row>
    <row r="2" spans="3:6" ht="23.25" customHeight="1">
      <c r="C2" s="69"/>
      <c r="D2" s="69"/>
      <c r="E2" s="69"/>
      <c r="F2" s="69"/>
    </row>
    <row r="3" spans="1:7" s="254" customFormat="1" ht="23.25" customHeight="1">
      <c r="A3" s="333" t="s">
        <v>271</v>
      </c>
      <c r="B3" s="333"/>
      <c r="C3" s="333"/>
      <c r="D3" s="333"/>
      <c r="E3" s="333"/>
      <c r="F3" s="333"/>
      <c r="G3" s="333"/>
    </row>
    <row r="4" ht="19.5" customHeight="1"/>
    <row r="5" s="237" customFormat="1" ht="25.5" customHeight="1">
      <c r="A5" s="237" t="s">
        <v>354</v>
      </c>
    </row>
    <row r="6" spans="1:7" s="220" customFormat="1" ht="24.75" customHeight="1">
      <c r="A6" s="329" t="s">
        <v>256</v>
      </c>
      <c r="B6" s="329"/>
      <c r="C6" s="330" t="s">
        <v>421</v>
      </c>
      <c r="D6" s="330"/>
      <c r="E6" s="253" t="s">
        <v>257</v>
      </c>
      <c r="F6" s="331">
        <v>1468107000</v>
      </c>
      <c r="G6" s="331"/>
    </row>
    <row r="7" s="220" customFormat="1" ht="19.5" customHeight="1"/>
    <row r="8" spans="1:7" s="220" customFormat="1" ht="24" customHeight="1">
      <c r="A8" s="238" t="s">
        <v>242</v>
      </c>
      <c r="B8" s="239" t="s">
        <v>422</v>
      </c>
      <c r="C8" s="239"/>
      <c r="D8" s="239"/>
      <c r="E8" s="239"/>
      <c r="F8" s="239"/>
      <c r="G8" s="240"/>
    </row>
    <row r="9" spans="1:7" s="220" customFormat="1" ht="24" customHeight="1">
      <c r="A9" s="241" t="s">
        <v>95</v>
      </c>
      <c r="B9" s="242" t="s">
        <v>423</v>
      </c>
      <c r="C9" s="242"/>
      <c r="D9" s="242"/>
      <c r="E9" s="242"/>
      <c r="F9" s="242"/>
      <c r="G9" s="243"/>
    </row>
    <row r="10" spans="1:7" s="220" customFormat="1" ht="15.75" customHeight="1">
      <c r="A10" s="241"/>
      <c r="B10" s="242"/>
      <c r="C10" s="242"/>
      <c r="D10" s="242"/>
      <c r="E10" s="242"/>
      <c r="F10" s="242"/>
      <c r="G10" s="243"/>
    </row>
    <row r="11" spans="1:7" s="220" customFormat="1" ht="24" customHeight="1">
      <c r="A11" s="241" t="s">
        <v>243</v>
      </c>
      <c r="B11" s="242" t="s">
        <v>424</v>
      </c>
      <c r="C11" s="242"/>
      <c r="D11" s="242"/>
      <c r="E11" s="242"/>
      <c r="F11" s="242"/>
      <c r="G11" s="243"/>
    </row>
    <row r="12" spans="1:7" s="220" customFormat="1" ht="15.75" customHeight="1">
      <c r="A12" s="241"/>
      <c r="B12" s="242"/>
      <c r="C12" s="242"/>
      <c r="D12" s="242"/>
      <c r="E12" s="242"/>
      <c r="F12" s="242"/>
      <c r="G12" s="243"/>
    </row>
    <row r="13" spans="1:7" s="220" customFormat="1" ht="24" customHeight="1">
      <c r="A13" s="241" t="s">
        <v>244</v>
      </c>
      <c r="B13" s="242" t="s">
        <v>425</v>
      </c>
      <c r="C13" s="242"/>
      <c r="D13" s="242"/>
      <c r="E13" s="242"/>
      <c r="F13" s="242"/>
      <c r="G13" s="243"/>
    </row>
    <row r="14" spans="1:7" s="220" customFormat="1" ht="15" customHeight="1">
      <c r="A14" s="241"/>
      <c r="B14" s="242"/>
      <c r="C14" s="242"/>
      <c r="D14" s="242"/>
      <c r="E14" s="242"/>
      <c r="F14" s="242"/>
      <c r="G14" s="243"/>
    </row>
    <row r="15" spans="1:7" s="220" customFormat="1" ht="24" customHeight="1">
      <c r="A15" s="241" t="s">
        <v>258</v>
      </c>
      <c r="B15" s="242" t="s">
        <v>259</v>
      </c>
      <c r="C15" s="242"/>
      <c r="D15" s="242"/>
      <c r="E15" s="242"/>
      <c r="F15" s="242"/>
      <c r="G15" s="243"/>
    </row>
    <row r="16" spans="1:7" s="220" customFormat="1" ht="24" customHeight="1">
      <c r="A16" s="244" t="s">
        <v>95</v>
      </c>
      <c r="B16" s="242" t="s">
        <v>260</v>
      </c>
      <c r="C16" s="242"/>
      <c r="D16" s="242"/>
      <c r="E16" s="242"/>
      <c r="F16" s="242"/>
      <c r="G16" s="243"/>
    </row>
    <row r="17" spans="1:7" s="220" customFormat="1" ht="24" customHeight="1">
      <c r="A17" s="244"/>
      <c r="B17" s="242" t="s">
        <v>261</v>
      </c>
      <c r="C17" s="242"/>
      <c r="D17" s="242"/>
      <c r="E17" s="242"/>
      <c r="F17" s="242"/>
      <c r="G17" s="243"/>
    </row>
    <row r="18" spans="1:7" s="220" customFormat="1" ht="27" customHeight="1">
      <c r="A18" s="244"/>
      <c r="B18" s="242" t="s">
        <v>263</v>
      </c>
      <c r="C18" s="242"/>
      <c r="D18" s="242"/>
      <c r="E18" s="242"/>
      <c r="F18" s="242"/>
      <c r="G18" s="243"/>
    </row>
    <row r="19" spans="1:7" s="220" customFormat="1" ht="27" customHeight="1">
      <c r="A19" s="244"/>
      <c r="B19" s="242" t="s">
        <v>262</v>
      </c>
      <c r="C19" s="242"/>
      <c r="D19" s="242"/>
      <c r="E19" s="242"/>
      <c r="F19" s="242"/>
      <c r="G19" s="243"/>
    </row>
    <row r="20" spans="1:7" s="220" customFormat="1" ht="27" customHeight="1">
      <c r="A20" s="244"/>
      <c r="B20" s="242" t="s">
        <v>264</v>
      </c>
      <c r="C20" s="242"/>
      <c r="D20" s="242"/>
      <c r="E20" s="242"/>
      <c r="F20" s="242"/>
      <c r="G20" s="243"/>
    </row>
    <row r="21" spans="1:10" s="70" customFormat="1" ht="15.75" customHeight="1">
      <c r="A21" s="245"/>
      <c r="B21" s="246"/>
      <c r="C21" s="246"/>
      <c r="D21" s="246"/>
      <c r="E21" s="246"/>
      <c r="F21" s="246"/>
      <c r="G21" s="247"/>
      <c r="H21" s="84"/>
      <c r="I21" s="84"/>
      <c r="J21" s="84"/>
    </row>
    <row r="22" spans="1:7" s="220" customFormat="1" ht="24" customHeight="1">
      <c r="A22" s="241" t="s">
        <v>265</v>
      </c>
      <c r="B22" s="242" t="s">
        <v>266</v>
      </c>
      <c r="C22" s="242"/>
      <c r="D22" s="242"/>
      <c r="E22" s="242"/>
      <c r="F22" s="242"/>
      <c r="G22" s="243"/>
    </row>
    <row r="23" spans="1:7" s="220" customFormat="1" ht="24" customHeight="1">
      <c r="A23" s="244" t="s">
        <v>95</v>
      </c>
      <c r="B23" s="242" t="s">
        <v>267</v>
      </c>
      <c r="C23" s="242"/>
      <c r="D23" s="242"/>
      <c r="E23" s="242"/>
      <c r="F23" s="242"/>
      <c r="G23" s="243"/>
    </row>
    <row r="24" spans="1:7" s="220" customFormat="1" ht="27" customHeight="1">
      <c r="A24" s="244"/>
      <c r="B24" s="242" t="s">
        <v>268</v>
      </c>
      <c r="C24" s="242"/>
      <c r="D24" s="242"/>
      <c r="E24" s="242"/>
      <c r="F24" s="242"/>
      <c r="G24" s="243"/>
    </row>
    <row r="25" spans="1:7" s="220" customFormat="1" ht="27" customHeight="1">
      <c r="A25" s="244"/>
      <c r="B25" s="242" t="s">
        <v>270</v>
      </c>
      <c r="C25" s="242"/>
      <c r="D25" s="242"/>
      <c r="E25" s="242"/>
      <c r="F25" s="242"/>
      <c r="G25" s="243"/>
    </row>
    <row r="26" spans="1:7" s="220" customFormat="1" ht="27" customHeight="1">
      <c r="A26" s="244"/>
      <c r="B26" s="242" t="s">
        <v>269</v>
      </c>
      <c r="C26" s="242"/>
      <c r="D26" s="242"/>
      <c r="E26" s="242"/>
      <c r="F26" s="242"/>
      <c r="G26" s="243"/>
    </row>
    <row r="27" spans="1:7" ht="13.5">
      <c r="A27" s="248"/>
      <c r="B27" s="213"/>
      <c r="C27" s="213"/>
      <c r="D27" s="213"/>
      <c r="E27" s="213"/>
      <c r="F27" s="213"/>
      <c r="G27" s="249"/>
    </row>
    <row r="28" spans="1:7" ht="13.5">
      <c r="A28" s="248"/>
      <c r="B28" s="213"/>
      <c r="C28" s="213"/>
      <c r="D28" s="213"/>
      <c r="E28" s="213"/>
      <c r="F28" s="213"/>
      <c r="G28" s="249"/>
    </row>
    <row r="29" spans="1:7" ht="13.5">
      <c r="A29" s="248"/>
      <c r="B29" s="213"/>
      <c r="C29" s="213"/>
      <c r="D29" s="213"/>
      <c r="E29" s="213"/>
      <c r="F29" s="213"/>
      <c r="G29" s="249"/>
    </row>
    <row r="30" spans="1:7" ht="13.5">
      <c r="A30" s="250"/>
      <c r="B30" s="251"/>
      <c r="C30" s="251"/>
      <c r="D30" s="251"/>
      <c r="E30" s="251"/>
      <c r="F30" s="251"/>
      <c r="G30" s="252"/>
    </row>
  </sheetData>
  <sheetProtection/>
  <mergeCells count="5">
    <mergeCell ref="A6:B6"/>
    <mergeCell ref="C6:D6"/>
    <mergeCell ref="F6:G6"/>
    <mergeCell ref="A1:G1"/>
    <mergeCell ref="A3:G3"/>
  </mergeCells>
  <printOptions horizontalCentered="1"/>
  <pageMargins left="0.3937007874015748" right="0.35433070866141736" top="1.220472440944882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1" sqref="H11"/>
    </sheetView>
  </sheetViews>
  <sheetFormatPr defaultColWidth="17.7109375" defaultRowHeight="24" customHeight="1"/>
  <cols>
    <col min="1" max="10" width="11.7109375" style="221" customWidth="1"/>
    <col min="11" max="16384" width="17.7109375" style="221" customWidth="1"/>
  </cols>
  <sheetData>
    <row r="1" spans="1:10" ht="49.5" customHeight="1">
      <c r="A1" s="334" t="s">
        <v>372</v>
      </c>
      <c r="B1" s="334"/>
      <c r="C1" s="334"/>
      <c r="D1" s="334"/>
      <c r="E1" s="334"/>
      <c r="F1" s="334"/>
      <c r="G1" s="334"/>
      <c r="H1" s="334"/>
      <c r="I1" s="334"/>
      <c r="J1" s="334"/>
    </row>
    <row r="2" ht="41.25" customHeight="1"/>
    <row r="3" spans="1:10" ht="27" customHeight="1" thickBot="1">
      <c r="A3" s="222"/>
      <c r="E3" s="223"/>
      <c r="J3" s="223" t="s">
        <v>373</v>
      </c>
    </row>
    <row r="4" spans="1:10" s="274" customFormat="1" ht="27" customHeight="1">
      <c r="A4" s="335" t="s">
        <v>374</v>
      </c>
      <c r="B4" s="336"/>
      <c r="C4" s="336"/>
      <c r="D4" s="336"/>
      <c r="E4" s="337"/>
      <c r="F4" s="335" t="s">
        <v>375</v>
      </c>
      <c r="G4" s="336"/>
      <c r="H4" s="336"/>
      <c r="I4" s="336"/>
      <c r="J4" s="337"/>
    </row>
    <row r="5" spans="1:10" s="279" customFormat="1" ht="27" customHeight="1" thickBot="1">
      <c r="A5" s="275" t="s">
        <v>376</v>
      </c>
      <c r="B5" s="276" t="s">
        <v>391</v>
      </c>
      <c r="C5" s="276" t="s">
        <v>392</v>
      </c>
      <c r="D5" s="276" t="s">
        <v>377</v>
      </c>
      <c r="E5" s="277" t="s">
        <v>378</v>
      </c>
      <c r="F5" s="278" t="s">
        <v>376</v>
      </c>
      <c r="G5" s="276" t="s">
        <v>391</v>
      </c>
      <c r="H5" s="276" t="s">
        <v>392</v>
      </c>
      <c r="I5" s="276" t="s">
        <v>377</v>
      </c>
      <c r="J5" s="277" t="s">
        <v>378</v>
      </c>
    </row>
    <row r="6" spans="1:10" s="284" customFormat="1" ht="27" customHeight="1" thickTop="1">
      <c r="A6" s="280" t="s">
        <v>379</v>
      </c>
      <c r="B6" s="281">
        <v>161600</v>
      </c>
      <c r="C6" s="281">
        <v>161504</v>
      </c>
      <c r="D6" s="281">
        <f aca="true" t="shared" si="0" ref="D6:D11">B6-C6</f>
        <v>96</v>
      </c>
      <c r="E6" s="282">
        <f aca="true" t="shared" si="1" ref="E6:E11">ROUNDDOWN(B6/$B$12,4)</f>
        <v>0.11</v>
      </c>
      <c r="F6" s="283" t="s">
        <v>380</v>
      </c>
      <c r="G6" s="281">
        <v>755380</v>
      </c>
      <c r="H6" s="281">
        <v>796210</v>
      </c>
      <c r="I6" s="281">
        <f>G6-H6</f>
        <v>-40830</v>
      </c>
      <c r="J6" s="282">
        <f>ROUNDDOWN(G6/$G$12,4)</f>
        <v>0.5145</v>
      </c>
    </row>
    <row r="7" spans="1:10" s="284" customFormat="1" ht="27" customHeight="1">
      <c r="A7" s="285" t="s">
        <v>381</v>
      </c>
      <c r="B7" s="286">
        <v>278704</v>
      </c>
      <c r="C7" s="286">
        <v>198836</v>
      </c>
      <c r="D7" s="286">
        <f t="shared" si="0"/>
        <v>79868</v>
      </c>
      <c r="E7" s="287">
        <f t="shared" si="1"/>
        <v>0.1898</v>
      </c>
      <c r="F7" s="288" t="s">
        <v>382</v>
      </c>
      <c r="G7" s="286">
        <v>373097</v>
      </c>
      <c r="H7" s="286">
        <v>218223</v>
      </c>
      <c r="I7" s="286">
        <f>G7-H7</f>
        <v>154874</v>
      </c>
      <c r="J7" s="287">
        <f>ROUNDDOWN(G7/$G$12,4)</f>
        <v>0.2541</v>
      </c>
    </row>
    <row r="8" spans="1:10" s="284" customFormat="1" ht="27" customHeight="1">
      <c r="A8" s="285" t="s">
        <v>383</v>
      </c>
      <c r="B8" s="286">
        <v>685826</v>
      </c>
      <c r="C8" s="286">
        <v>652013</v>
      </c>
      <c r="D8" s="286">
        <f t="shared" si="0"/>
        <v>33813</v>
      </c>
      <c r="E8" s="287">
        <f t="shared" si="1"/>
        <v>0.4671</v>
      </c>
      <c r="F8" s="288" t="s">
        <v>385</v>
      </c>
      <c r="G8" s="286">
        <v>1040</v>
      </c>
      <c r="H8" s="286">
        <v>700</v>
      </c>
      <c r="I8" s="286">
        <f>G8-H8</f>
        <v>340</v>
      </c>
      <c r="J8" s="287">
        <f>ROUNDDOWN(G8/$G$12,4)</f>
        <v>0.0007</v>
      </c>
    </row>
    <row r="9" spans="1:10" s="284" customFormat="1" ht="27" customHeight="1">
      <c r="A9" s="285" t="s">
        <v>384</v>
      </c>
      <c r="B9" s="286">
        <v>51</v>
      </c>
      <c r="C9" s="286">
        <v>500</v>
      </c>
      <c r="D9" s="286">
        <f t="shared" si="0"/>
        <v>-449</v>
      </c>
      <c r="E9" s="287">
        <f t="shared" si="1"/>
        <v>0</v>
      </c>
      <c r="F9" s="288" t="s">
        <v>387</v>
      </c>
      <c r="G9" s="286">
        <v>0</v>
      </c>
      <c r="H9" s="286">
        <v>0</v>
      </c>
      <c r="I9" s="286">
        <f>G9-H9</f>
        <v>0</v>
      </c>
      <c r="J9" s="287">
        <f>ROUNDDOWN(G9/$G$12,4)</f>
        <v>0</v>
      </c>
    </row>
    <row r="10" spans="1:10" s="284" customFormat="1" ht="27" customHeight="1">
      <c r="A10" s="285" t="s">
        <v>386</v>
      </c>
      <c r="B10" s="286">
        <v>338590</v>
      </c>
      <c r="C10" s="286">
        <v>328420</v>
      </c>
      <c r="D10" s="286">
        <f t="shared" si="0"/>
        <v>10170</v>
      </c>
      <c r="E10" s="287">
        <f t="shared" si="1"/>
        <v>0.2306</v>
      </c>
      <c r="F10" s="288" t="s">
        <v>386</v>
      </c>
      <c r="G10" s="286">
        <v>338590</v>
      </c>
      <c r="H10" s="286">
        <v>328420</v>
      </c>
      <c r="I10" s="286">
        <f>G10-H10</f>
        <v>10170</v>
      </c>
      <c r="J10" s="287">
        <f>ROUNDDOWN(G10/$G$12,4)</f>
        <v>0.2306</v>
      </c>
    </row>
    <row r="11" spans="1:10" s="284" customFormat="1" ht="27" customHeight="1" thickBot="1">
      <c r="A11" s="289" t="s">
        <v>388</v>
      </c>
      <c r="B11" s="290">
        <v>3336</v>
      </c>
      <c r="C11" s="290">
        <v>2280</v>
      </c>
      <c r="D11" s="290">
        <f t="shared" si="0"/>
        <v>1056</v>
      </c>
      <c r="E11" s="291">
        <f t="shared" si="1"/>
        <v>0.0022</v>
      </c>
      <c r="F11" s="288"/>
      <c r="G11" s="286"/>
      <c r="H11" s="286"/>
      <c r="I11" s="286"/>
      <c r="J11" s="287"/>
    </row>
    <row r="12" spans="1:10" s="284" customFormat="1" ht="27" customHeight="1" thickBot="1" thickTop="1">
      <c r="A12" s="292" t="s">
        <v>389</v>
      </c>
      <c r="B12" s="293">
        <f>SUM(B6:B11)</f>
        <v>1468107</v>
      </c>
      <c r="C12" s="293">
        <f>SUM(C6:C11)</f>
        <v>1343553</v>
      </c>
      <c r="D12" s="293">
        <f>SUM(D6:D11)</f>
        <v>124554</v>
      </c>
      <c r="E12" s="294">
        <f>B12/$B$12</f>
        <v>1</v>
      </c>
      <c r="F12" s="295" t="s">
        <v>390</v>
      </c>
      <c r="G12" s="293">
        <f>SUM(G6:G11)</f>
        <v>1468107</v>
      </c>
      <c r="H12" s="293">
        <f>SUM(H6:H11)</f>
        <v>1343553</v>
      </c>
      <c r="I12" s="293">
        <f>SUM(I6:I11)</f>
        <v>124554</v>
      </c>
      <c r="J12" s="294">
        <f>G12/$G$12</f>
        <v>1</v>
      </c>
    </row>
    <row r="13" spans="1:10" ht="27" customHeight="1">
      <c r="A13" s="296"/>
      <c r="B13" s="296"/>
      <c r="C13" s="296"/>
      <c r="D13" s="296"/>
      <c r="E13" s="296"/>
      <c r="F13" s="297"/>
      <c r="G13" s="297"/>
      <c r="H13" s="297"/>
      <c r="I13" s="297"/>
      <c r="J13" s="297"/>
    </row>
    <row r="14" spans="1:5" ht="27" customHeight="1">
      <c r="A14" s="222"/>
      <c r="B14" s="226"/>
      <c r="C14" s="226"/>
      <c r="D14" s="226"/>
      <c r="E14" s="223"/>
    </row>
    <row r="15" s="224" customFormat="1" ht="27" customHeight="1"/>
    <row r="16" s="225" customFormat="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sheetProtection/>
  <mergeCells count="3">
    <mergeCell ref="A1:J1"/>
    <mergeCell ref="A4:E4"/>
    <mergeCell ref="F4:J4"/>
  </mergeCells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scale="78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2"/>
  <sheetViews>
    <sheetView showGridLines="0" workbookViewId="0" topLeftCell="A1">
      <selection activeCell="C2" sqref="C2"/>
    </sheetView>
  </sheetViews>
  <sheetFormatPr defaultColWidth="10.28125" defaultRowHeight="18" customHeight="1"/>
  <cols>
    <col min="1" max="2" width="3.00390625" style="2" customWidth="1"/>
    <col min="3" max="3" width="22.8515625" style="2" customWidth="1"/>
    <col min="4" max="6" width="13.28125" style="2" customWidth="1"/>
    <col min="7" max="7" width="48.57421875" style="2" customWidth="1"/>
    <col min="8" max="8" width="2.00390625" style="2" customWidth="1"/>
    <col min="9" max="9" width="14.421875" style="25" customWidth="1"/>
    <col min="10" max="10" width="13.140625" style="2" customWidth="1"/>
    <col min="11" max="16384" width="10.28125" style="2" customWidth="1"/>
  </cols>
  <sheetData>
    <row r="1" spans="1:9" s="227" customFormat="1" ht="29.25" customHeight="1">
      <c r="A1" s="366" t="s">
        <v>426</v>
      </c>
      <c r="B1" s="366"/>
      <c r="C1" s="366"/>
      <c r="D1" s="366"/>
      <c r="E1" s="366"/>
      <c r="F1" s="366"/>
      <c r="G1" s="366"/>
      <c r="H1" s="366"/>
      <c r="I1" s="366"/>
    </row>
    <row r="2" spans="1:9" ht="12">
      <c r="A2" s="3"/>
      <c r="B2" s="4"/>
      <c r="C2" s="4"/>
      <c r="D2" s="4"/>
      <c r="E2" s="4"/>
      <c r="F2" s="4"/>
      <c r="G2" s="4"/>
      <c r="H2" s="4"/>
      <c r="I2" s="5"/>
    </row>
    <row r="3" spans="1:9" ht="12">
      <c r="A3" s="26" t="s">
        <v>394</v>
      </c>
      <c r="B3" s="26"/>
      <c r="C3" s="26"/>
      <c r="D3" s="270"/>
      <c r="E3" s="270"/>
      <c r="I3" s="298" t="s">
        <v>393</v>
      </c>
    </row>
    <row r="4" spans="1:9" ht="18" customHeight="1">
      <c r="A4" s="375" t="s">
        <v>7</v>
      </c>
      <c r="B4" s="376"/>
      <c r="C4" s="377"/>
      <c r="D4" s="373" t="s">
        <v>245</v>
      </c>
      <c r="E4" s="374" t="s">
        <v>246</v>
      </c>
      <c r="F4" s="371" t="s">
        <v>8</v>
      </c>
      <c r="G4" s="367" t="s">
        <v>9</v>
      </c>
      <c r="H4" s="367"/>
      <c r="I4" s="368"/>
    </row>
    <row r="5" spans="1:9" ht="18" customHeight="1">
      <c r="A5" s="6" t="s">
        <v>10</v>
      </c>
      <c r="B5" s="7" t="s">
        <v>11</v>
      </c>
      <c r="C5" s="7" t="s">
        <v>12</v>
      </c>
      <c r="D5" s="369"/>
      <c r="E5" s="372"/>
      <c r="F5" s="372"/>
      <c r="G5" s="369"/>
      <c r="H5" s="369"/>
      <c r="I5" s="370"/>
    </row>
    <row r="6" spans="1:9" ht="18" customHeight="1">
      <c r="A6" s="357" t="s">
        <v>32</v>
      </c>
      <c r="B6" s="358"/>
      <c r="C6" s="359"/>
      <c r="D6" s="109">
        <f>SUM(D7)</f>
        <v>161600</v>
      </c>
      <c r="E6" s="109">
        <f>SUM(E7)</f>
        <v>161504</v>
      </c>
      <c r="F6" s="109">
        <f>SUM(F7)</f>
        <v>96</v>
      </c>
      <c r="G6" s="110"/>
      <c r="H6" s="111"/>
      <c r="I6" s="112"/>
    </row>
    <row r="7" spans="1:9" ht="18" customHeight="1">
      <c r="A7" s="352"/>
      <c r="B7" s="363" t="s">
        <v>33</v>
      </c>
      <c r="C7" s="364"/>
      <c r="D7" s="113">
        <f>SUM(D8,D16,D12)</f>
        <v>161600</v>
      </c>
      <c r="E7" s="113">
        <f>SUM(E8,E16,E12)</f>
        <v>161504</v>
      </c>
      <c r="F7" s="113">
        <f>SUM(F8,F16,F12)</f>
        <v>96</v>
      </c>
      <c r="G7" s="114"/>
      <c r="H7" s="115"/>
      <c r="I7" s="116"/>
    </row>
    <row r="8" spans="1:9" ht="12" customHeight="1">
      <c r="A8" s="353"/>
      <c r="B8" s="355"/>
      <c r="C8" s="12" t="s">
        <v>34</v>
      </c>
      <c r="D8" s="11">
        <v>10000</v>
      </c>
      <c r="E8" s="11">
        <v>9500</v>
      </c>
      <c r="F8" s="11">
        <f>D8-E8</f>
        <v>500</v>
      </c>
      <c r="G8" s="13"/>
      <c r="H8" s="14"/>
      <c r="I8" s="15"/>
    </row>
    <row r="9" spans="1:9" ht="12" customHeight="1">
      <c r="A9" s="353"/>
      <c r="B9" s="356"/>
      <c r="C9" s="361"/>
      <c r="D9" s="16"/>
      <c r="E9" s="16"/>
      <c r="F9" s="16"/>
      <c r="G9" s="18" t="s">
        <v>35</v>
      </c>
      <c r="H9" s="19"/>
      <c r="I9" s="20"/>
    </row>
    <row r="10" spans="1:9" ht="12" customHeight="1">
      <c r="A10" s="353"/>
      <c r="B10" s="356"/>
      <c r="C10" s="361"/>
      <c r="D10" s="16"/>
      <c r="E10" s="16"/>
      <c r="F10" s="16"/>
      <c r="G10" s="44" t="s">
        <v>428</v>
      </c>
      <c r="H10" s="19" t="s">
        <v>18</v>
      </c>
      <c r="I10" s="20">
        <f>100*100000</f>
        <v>10000000</v>
      </c>
    </row>
    <row r="11" spans="1:9" ht="16.5" customHeight="1">
      <c r="A11" s="353"/>
      <c r="B11" s="356"/>
      <c r="C11" s="362"/>
      <c r="D11" s="21"/>
      <c r="E11" s="21"/>
      <c r="F11" s="21"/>
      <c r="G11" s="47" t="s">
        <v>13</v>
      </c>
      <c r="H11" s="9"/>
      <c r="I11" s="48">
        <f>SUM(I9:I10)</f>
        <v>10000000</v>
      </c>
    </row>
    <row r="12" spans="1:9" ht="18" customHeight="1">
      <c r="A12" s="353"/>
      <c r="B12" s="356"/>
      <c r="C12" s="12" t="s">
        <v>36</v>
      </c>
      <c r="D12" s="11">
        <v>151600</v>
      </c>
      <c r="E12" s="11">
        <v>152004</v>
      </c>
      <c r="F12" s="11">
        <f>D12-E12</f>
        <v>-404</v>
      </c>
      <c r="G12" s="13"/>
      <c r="H12" s="14"/>
      <c r="I12" s="15"/>
    </row>
    <row r="13" spans="1:9" ht="12" customHeight="1">
      <c r="A13" s="353"/>
      <c r="B13" s="356"/>
      <c r="C13" s="17"/>
      <c r="D13" s="16"/>
      <c r="E13" s="16"/>
      <c r="F13" s="16"/>
      <c r="G13" s="81" t="s">
        <v>339</v>
      </c>
      <c r="H13" s="19"/>
      <c r="I13" s="20"/>
    </row>
    <row r="14" spans="1:9" ht="12" customHeight="1">
      <c r="A14" s="353"/>
      <c r="B14" s="356"/>
      <c r="C14" s="17"/>
      <c r="D14" s="16"/>
      <c r="E14" s="16"/>
      <c r="F14" s="16"/>
      <c r="G14" s="44" t="s">
        <v>429</v>
      </c>
      <c r="H14" s="19" t="s">
        <v>18</v>
      </c>
      <c r="I14" s="20">
        <v>151600000</v>
      </c>
    </row>
    <row r="15" spans="1:9" ht="18" customHeight="1">
      <c r="A15" s="353"/>
      <c r="B15" s="356"/>
      <c r="C15" s="16"/>
      <c r="D15" s="16"/>
      <c r="E15" s="16"/>
      <c r="F15" s="16"/>
      <c r="G15" s="73" t="s">
        <v>13</v>
      </c>
      <c r="H15" s="14"/>
      <c r="I15" s="74">
        <f>ROUNDUP(I14,-3)</f>
        <v>151600000</v>
      </c>
    </row>
    <row r="16" spans="1:9" ht="16.5" customHeight="1">
      <c r="A16" s="353"/>
      <c r="B16" s="356"/>
      <c r="C16" s="12" t="s">
        <v>38</v>
      </c>
      <c r="D16" s="11">
        <v>0</v>
      </c>
      <c r="E16" s="11">
        <v>0</v>
      </c>
      <c r="F16" s="11">
        <f>D16-E16</f>
        <v>0</v>
      </c>
      <c r="G16" s="13"/>
      <c r="H16" s="14"/>
      <c r="I16" s="15"/>
    </row>
    <row r="17" spans="1:9" ht="10.5" customHeight="1">
      <c r="A17" s="353"/>
      <c r="B17" s="356"/>
      <c r="C17" s="361"/>
      <c r="D17" s="16"/>
      <c r="E17" s="16"/>
      <c r="F17" s="16"/>
      <c r="G17" s="18" t="s">
        <v>37</v>
      </c>
      <c r="H17" s="19"/>
      <c r="I17" s="20"/>
    </row>
    <row r="18" spans="1:9" ht="10.5" customHeight="1">
      <c r="A18" s="353"/>
      <c r="B18" s="356"/>
      <c r="C18" s="361"/>
      <c r="D18" s="16"/>
      <c r="E18" s="16"/>
      <c r="F18" s="16"/>
      <c r="G18" s="44"/>
      <c r="H18" s="19"/>
      <c r="I18" s="20"/>
    </row>
    <row r="19" spans="1:9" ht="16.5" customHeight="1">
      <c r="A19" s="354"/>
      <c r="B19" s="23"/>
      <c r="C19" s="365"/>
      <c r="D19" s="23"/>
      <c r="E19" s="23"/>
      <c r="F19" s="23"/>
      <c r="G19" s="58" t="s">
        <v>13</v>
      </c>
      <c r="H19" s="46"/>
      <c r="I19" s="59">
        <f>SUM(I17:I18)</f>
        <v>0</v>
      </c>
    </row>
    <row r="20" spans="1:9" ht="18" customHeight="1">
      <c r="A20" s="357" t="s">
        <v>40</v>
      </c>
      <c r="B20" s="358"/>
      <c r="C20" s="359"/>
      <c r="D20" s="109">
        <f>SUM(D21)</f>
        <v>278704</v>
      </c>
      <c r="E20" s="109">
        <f>SUM(E21)</f>
        <v>198836</v>
      </c>
      <c r="F20" s="109">
        <f>SUM(F21)</f>
        <v>79868</v>
      </c>
      <c r="G20" s="110"/>
      <c r="H20" s="111"/>
      <c r="I20" s="112"/>
    </row>
    <row r="21" spans="1:9" ht="18" customHeight="1">
      <c r="A21" s="352"/>
      <c r="B21" s="363" t="s">
        <v>41</v>
      </c>
      <c r="C21" s="364"/>
      <c r="D21" s="113">
        <f>SUM(D22:D30)</f>
        <v>278704</v>
      </c>
      <c r="E21" s="113">
        <f>SUM(E22:E30)</f>
        <v>198836</v>
      </c>
      <c r="F21" s="113">
        <f>SUM(F22,F24,F28,F30,F26)</f>
        <v>79868</v>
      </c>
      <c r="G21" s="114"/>
      <c r="H21" s="115"/>
      <c r="I21" s="116"/>
    </row>
    <row r="22" spans="1:9" ht="18" customHeight="1">
      <c r="A22" s="353"/>
      <c r="B22" s="355"/>
      <c r="C22" s="12" t="s">
        <v>42</v>
      </c>
      <c r="D22" s="11">
        <v>30481</v>
      </c>
      <c r="E22" s="11">
        <v>34884</v>
      </c>
      <c r="F22" s="11">
        <f>D22-E22</f>
        <v>-4403</v>
      </c>
      <c r="G22" s="18" t="s">
        <v>77</v>
      </c>
      <c r="H22" s="14"/>
      <c r="I22" s="15">
        <v>30481000</v>
      </c>
    </row>
    <row r="23" spans="1:9" ht="18" customHeight="1">
      <c r="A23" s="353"/>
      <c r="B23" s="356"/>
      <c r="C23" s="105"/>
      <c r="D23" s="21"/>
      <c r="E23" s="21"/>
      <c r="F23" s="21"/>
      <c r="G23" s="47" t="s">
        <v>13</v>
      </c>
      <c r="H23" s="9"/>
      <c r="I23" s="74">
        <f>ROUNDUP(I22,-3)</f>
        <v>30481000</v>
      </c>
    </row>
    <row r="24" spans="1:9" ht="18" customHeight="1">
      <c r="A24" s="353"/>
      <c r="B24" s="355"/>
      <c r="C24" s="12" t="s">
        <v>74</v>
      </c>
      <c r="D24" s="11">
        <v>8129</v>
      </c>
      <c r="E24" s="11">
        <v>8396</v>
      </c>
      <c r="F24" s="11">
        <f>D24-E24</f>
        <v>-267</v>
      </c>
      <c r="G24" s="18" t="s">
        <v>78</v>
      </c>
      <c r="H24" s="14"/>
      <c r="I24" s="15">
        <v>8129000</v>
      </c>
    </row>
    <row r="25" spans="1:9" ht="18" customHeight="1">
      <c r="A25" s="353"/>
      <c r="B25" s="356"/>
      <c r="C25" s="105"/>
      <c r="D25" s="21"/>
      <c r="E25" s="228"/>
      <c r="F25" s="21"/>
      <c r="G25" s="47" t="s">
        <v>13</v>
      </c>
      <c r="H25" s="9"/>
      <c r="I25" s="74">
        <f>ROUNDDOWN(I24,-3)</f>
        <v>8129000</v>
      </c>
    </row>
    <row r="26" spans="1:9" ht="18" customHeight="1">
      <c r="A26" s="353"/>
      <c r="B26" s="355"/>
      <c r="C26" s="12" t="s">
        <v>75</v>
      </c>
      <c r="D26" s="11">
        <v>15433</v>
      </c>
      <c r="E26" s="11">
        <v>15756</v>
      </c>
      <c r="F26" s="11">
        <f>D26-E26</f>
        <v>-323</v>
      </c>
      <c r="G26" s="18" t="s">
        <v>79</v>
      </c>
      <c r="H26" s="14"/>
      <c r="I26" s="15">
        <v>15433000</v>
      </c>
    </row>
    <row r="27" spans="1:9" ht="18" customHeight="1">
      <c r="A27" s="353"/>
      <c r="B27" s="356"/>
      <c r="C27" s="105"/>
      <c r="D27" s="21"/>
      <c r="E27" s="21"/>
      <c r="F27" s="21"/>
      <c r="G27" s="47" t="s">
        <v>13</v>
      </c>
      <c r="H27" s="9"/>
      <c r="I27" s="74">
        <f>ROUNDDOWN(I26,-3)</f>
        <v>15433000</v>
      </c>
    </row>
    <row r="28" spans="1:9" ht="18" customHeight="1">
      <c r="A28" s="353"/>
      <c r="B28" s="355"/>
      <c r="C28" s="12" t="s">
        <v>193</v>
      </c>
      <c r="D28" s="11">
        <v>27955</v>
      </c>
      <c r="E28" s="11">
        <v>24228</v>
      </c>
      <c r="F28" s="11">
        <f>D28-E28</f>
        <v>3727</v>
      </c>
      <c r="G28" s="18" t="s">
        <v>192</v>
      </c>
      <c r="H28" s="14"/>
      <c r="I28" s="15">
        <v>27955000</v>
      </c>
    </row>
    <row r="29" spans="1:9" ht="18" customHeight="1">
      <c r="A29" s="353"/>
      <c r="B29" s="356"/>
      <c r="C29" s="105"/>
      <c r="D29" s="21"/>
      <c r="E29" s="21"/>
      <c r="F29" s="21"/>
      <c r="G29" s="47" t="s">
        <v>13</v>
      </c>
      <c r="H29" s="9"/>
      <c r="I29" s="74">
        <f>I28</f>
        <v>27955000</v>
      </c>
    </row>
    <row r="30" spans="1:9" ht="18" customHeight="1">
      <c r="A30" s="353"/>
      <c r="B30" s="355"/>
      <c r="C30" s="12" t="s">
        <v>76</v>
      </c>
      <c r="D30" s="11">
        <v>196706</v>
      </c>
      <c r="E30" s="11">
        <v>115572</v>
      </c>
      <c r="F30" s="11">
        <f>D30-E30</f>
        <v>81134</v>
      </c>
      <c r="G30" s="18" t="s">
        <v>80</v>
      </c>
      <c r="H30" s="14"/>
      <c r="I30" s="15">
        <v>196706000</v>
      </c>
    </row>
    <row r="31" spans="1:9" ht="18" customHeight="1">
      <c r="A31" s="353"/>
      <c r="B31" s="356"/>
      <c r="C31" s="105"/>
      <c r="D31" s="21"/>
      <c r="E31" s="21"/>
      <c r="F31" s="21"/>
      <c r="G31" s="47" t="s">
        <v>13</v>
      </c>
      <c r="H31" s="9"/>
      <c r="I31" s="59">
        <f>ROUNDUP(I30,)</f>
        <v>196706000</v>
      </c>
    </row>
    <row r="32" spans="1:9" ht="18" customHeight="1">
      <c r="A32" s="349" t="s">
        <v>43</v>
      </c>
      <c r="B32" s="350"/>
      <c r="C32" s="351"/>
      <c r="D32" s="109">
        <f>D33+D42</f>
        <v>685826</v>
      </c>
      <c r="E32" s="109">
        <f>E33+E42</f>
        <v>652013</v>
      </c>
      <c r="F32" s="109">
        <f>F33+F42</f>
        <v>33813</v>
      </c>
      <c r="G32" s="110"/>
      <c r="H32" s="111"/>
      <c r="I32" s="112"/>
    </row>
    <row r="33" spans="1:9" ht="18" customHeight="1">
      <c r="A33" s="61"/>
      <c r="B33" s="113" t="s">
        <v>39</v>
      </c>
      <c r="C33" s="113"/>
      <c r="D33" s="113">
        <f>D34</f>
        <v>604826</v>
      </c>
      <c r="E33" s="113">
        <f>E34</f>
        <v>578760</v>
      </c>
      <c r="F33" s="113">
        <f>F34</f>
        <v>26066</v>
      </c>
      <c r="G33" s="114"/>
      <c r="H33" s="115"/>
      <c r="I33" s="116"/>
    </row>
    <row r="34" spans="1:9" ht="18" customHeight="1">
      <c r="A34" s="338"/>
      <c r="B34" s="85"/>
      <c r="C34" s="82" t="s">
        <v>81</v>
      </c>
      <c r="D34" s="11">
        <v>604826</v>
      </c>
      <c r="E34" s="11">
        <v>578760</v>
      </c>
      <c r="F34" s="11">
        <f>D34-E34</f>
        <v>26066</v>
      </c>
      <c r="G34" s="13"/>
      <c r="H34" s="14"/>
      <c r="I34" s="108"/>
    </row>
    <row r="35" spans="1:9" ht="18" customHeight="1">
      <c r="A35" s="338"/>
      <c r="B35" s="85"/>
      <c r="C35" s="62"/>
      <c r="D35" s="16"/>
      <c r="E35" s="16"/>
      <c r="F35" s="16"/>
      <c r="G35" s="81" t="s">
        <v>396</v>
      </c>
      <c r="H35" s="24" t="s">
        <v>18</v>
      </c>
      <c r="I35" s="231">
        <f>462068820-5430</f>
        <v>462063390</v>
      </c>
    </row>
    <row r="36" spans="1:9" ht="18" customHeight="1">
      <c r="A36" s="338"/>
      <c r="B36" s="85"/>
      <c r="C36" s="62"/>
      <c r="D36" s="16"/>
      <c r="E36" s="16"/>
      <c r="F36" s="16"/>
      <c r="G36" s="229" t="s">
        <v>415</v>
      </c>
      <c r="H36" s="24" t="s">
        <v>18</v>
      </c>
      <c r="I36" s="20">
        <v>105277360</v>
      </c>
    </row>
    <row r="37" spans="1:9" ht="18" customHeight="1">
      <c r="A37" s="338"/>
      <c r="B37" s="85"/>
      <c r="C37" s="62"/>
      <c r="D37" s="16"/>
      <c r="E37" s="16"/>
      <c r="F37" s="16"/>
      <c r="G37" s="81" t="s">
        <v>430</v>
      </c>
      <c r="H37" s="24" t="s">
        <v>18</v>
      </c>
      <c r="I37" s="231">
        <v>25153250</v>
      </c>
    </row>
    <row r="38" spans="1:9" ht="18" customHeight="1">
      <c r="A38" s="338"/>
      <c r="B38" s="85"/>
      <c r="C38" s="62"/>
      <c r="D38" s="16"/>
      <c r="E38" s="16"/>
      <c r="F38" s="16"/>
      <c r="G38" s="81" t="s">
        <v>431</v>
      </c>
      <c r="H38" s="24" t="s">
        <v>18</v>
      </c>
      <c r="I38" s="20">
        <v>4332000</v>
      </c>
    </row>
    <row r="39" spans="1:10" ht="18" customHeight="1">
      <c r="A39" s="338"/>
      <c r="B39" s="85"/>
      <c r="C39" s="62"/>
      <c r="D39" s="16"/>
      <c r="E39" s="16"/>
      <c r="F39" s="16"/>
      <c r="G39" s="81" t="s">
        <v>432</v>
      </c>
      <c r="H39" s="313" t="s">
        <v>434</v>
      </c>
      <c r="I39" s="308">
        <v>5000000</v>
      </c>
      <c r="J39" s="270"/>
    </row>
    <row r="40" spans="1:10" ht="18" customHeight="1">
      <c r="A40" s="338"/>
      <c r="B40" s="85"/>
      <c r="C40" s="62"/>
      <c r="D40" s="16"/>
      <c r="E40" s="16"/>
      <c r="F40" s="16"/>
      <c r="G40" s="81" t="s">
        <v>433</v>
      </c>
      <c r="H40" s="45" t="s">
        <v>434</v>
      </c>
      <c r="I40" s="314">
        <v>3000000</v>
      </c>
      <c r="J40" s="270"/>
    </row>
    <row r="41" spans="1:9" ht="18" customHeight="1">
      <c r="A41" s="338"/>
      <c r="B41" s="85"/>
      <c r="C41" s="62"/>
      <c r="D41" s="16"/>
      <c r="E41" s="16"/>
      <c r="F41" s="16"/>
      <c r="G41" s="73" t="s">
        <v>13</v>
      </c>
      <c r="H41" s="14"/>
      <c r="I41" s="74">
        <f>SUM(I34:I40)</f>
        <v>604826000</v>
      </c>
    </row>
    <row r="42" spans="1:9" ht="18" customHeight="1">
      <c r="A42" s="338"/>
      <c r="B42" s="85"/>
      <c r="C42" s="82" t="s">
        <v>247</v>
      </c>
      <c r="D42" s="11">
        <v>81000</v>
      </c>
      <c r="E42" s="11">
        <v>73253</v>
      </c>
      <c r="F42" s="11">
        <f>D42-E42</f>
        <v>7747</v>
      </c>
      <c r="G42" s="267" t="s">
        <v>435</v>
      </c>
      <c r="H42" s="315" t="s">
        <v>434</v>
      </c>
      <c r="I42" s="108">
        <v>1000000</v>
      </c>
    </row>
    <row r="43" spans="1:9" ht="18" customHeight="1">
      <c r="A43" s="338"/>
      <c r="B43" s="85"/>
      <c r="C43" s="62"/>
      <c r="D43" s="16"/>
      <c r="E43" s="16"/>
      <c r="F43" s="16"/>
      <c r="G43" s="229" t="s">
        <v>248</v>
      </c>
      <c r="H43" s="24"/>
      <c r="I43" s="20"/>
    </row>
    <row r="44" spans="1:9" ht="18" customHeight="1">
      <c r="A44" s="338"/>
      <c r="B44" s="85"/>
      <c r="C44" s="62"/>
      <c r="D44" s="16"/>
      <c r="E44" s="16"/>
      <c r="F44" s="16"/>
      <c r="G44" s="166" t="s">
        <v>437</v>
      </c>
      <c r="H44" s="24" t="s">
        <v>18</v>
      </c>
      <c r="I44" s="20">
        <f>6747000+71253000</f>
        <v>78000000</v>
      </c>
    </row>
    <row r="45" spans="1:9" ht="18" customHeight="1">
      <c r="A45" s="338"/>
      <c r="B45" s="85"/>
      <c r="C45" s="62"/>
      <c r="D45" s="16"/>
      <c r="E45" s="16"/>
      <c r="F45" s="16"/>
      <c r="G45" s="229" t="s">
        <v>436</v>
      </c>
      <c r="H45" s="24" t="s">
        <v>18</v>
      </c>
      <c r="I45" s="20">
        <v>2000000</v>
      </c>
    </row>
    <row r="46" spans="1:9" ht="18" customHeight="1">
      <c r="A46" s="339"/>
      <c r="B46" s="106"/>
      <c r="C46" s="107"/>
      <c r="D46" s="23"/>
      <c r="E46" s="23"/>
      <c r="F46" s="23"/>
      <c r="G46" s="58" t="s">
        <v>13</v>
      </c>
      <c r="H46" s="46"/>
      <c r="I46" s="59">
        <f>SUM(I42:I45)</f>
        <v>81000000</v>
      </c>
    </row>
    <row r="47" spans="1:9" ht="18" customHeight="1">
      <c r="A47" s="349" t="s">
        <v>44</v>
      </c>
      <c r="B47" s="350"/>
      <c r="C47" s="351"/>
      <c r="D47" s="109">
        <f>D48</f>
        <v>51</v>
      </c>
      <c r="E47" s="109">
        <f>E48</f>
        <v>500</v>
      </c>
      <c r="F47" s="109">
        <f>F48</f>
        <v>-449</v>
      </c>
      <c r="G47" s="110"/>
      <c r="H47" s="111"/>
      <c r="I47" s="112"/>
    </row>
    <row r="48" spans="1:9" ht="18" customHeight="1">
      <c r="A48" s="61"/>
      <c r="B48" s="113" t="s">
        <v>45</v>
      </c>
      <c r="C48" s="113"/>
      <c r="D48" s="113">
        <f>D49</f>
        <v>51</v>
      </c>
      <c r="E48" s="113">
        <f>SUM(E49:E51)</f>
        <v>500</v>
      </c>
      <c r="F48" s="113">
        <f>SUM(F49:F51)</f>
        <v>-449</v>
      </c>
      <c r="G48" s="114"/>
      <c r="H48" s="115"/>
      <c r="I48" s="116"/>
    </row>
    <row r="49" spans="1:9" ht="14.25" customHeight="1">
      <c r="A49" s="61"/>
      <c r="B49" s="355"/>
      <c r="C49" s="11" t="s">
        <v>46</v>
      </c>
      <c r="D49" s="11">
        <v>51</v>
      </c>
      <c r="E49" s="11">
        <v>500</v>
      </c>
      <c r="F49" s="11">
        <f>+D49-E49</f>
        <v>-449</v>
      </c>
      <c r="G49" s="13"/>
      <c r="H49" s="14"/>
      <c r="I49" s="15"/>
    </row>
    <row r="50" spans="1:9" ht="14.25" customHeight="1">
      <c r="A50" s="61"/>
      <c r="B50" s="356"/>
      <c r="C50" s="16"/>
      <c r="D50" s="16"/>
      <c r="E50" s="16"/>
      <c r="F50" s="16"/>
      <c r="G50" s="18" t="s">
        <v>47</v>
      </c>
      <c r="H50" s="45" t="s">
        <v>20</v>
      </c>
      <c r="I50" s="20">
        <v>51000</v>
      </c>
    </row>
    <row r="51" spans="1:9" ht="18" customHeight="1">
      <c r="A51" s="61"/>
      <c r="B51" s="360"/>
      <c r="C51" s="62"/>
      <c r="D51" s="23"/>
      <c r="E51" s="23"/>
      <c r="F51" s="23"/>
      <c r="G51" s="58" t="s">
        <v>13</v>
      </c>
      <c r="H51" s="46"/>
      <c r="I51" s="59">
        <f>ROUNDDOWN(I50,-3)</f>
        <v>51000</v>
      </c>
    </row>
    <row r="52" spans="1:9" ht="18" customHeight="1">
      <c r="A52" s="349" t="s">
        <v>68</v>
      </c>
      <c r="B52" s="350"/>
      <c r="C52" s="351"/>
      <c r="D52" s="109">
        <f>D53</f>
        <v>338590</v>
      </c>
      <c r="E52" s="109">
        <f>E53</f>
        <v>328420</v>
      </c>
      <c r="F52" s="109">
        <f>F53</f>
        <v>10170</v>
      </c>
      <c r="G52" s="110"/>
      <c r="H52" s="111"/>
      <c r="I52" s="112"/>
    </row>
    <row r="53" spans="1:9" ht="18" customHeight="1">
      <c r="A53" s="61"/>
      <c r="B53" s="113" t="s">
        <v>48</v>
      </c>
      <c r="C53" s="113"/>
      <c r="D53" s="113">
        <f>D54+D57+D61+D69</f>
        <v>338590</v>
      </c>
      <c r="E53" s="113">
        <f>E54+E57+E61+E69</f>
        <v>328420</v>
      </c>
      <c r="F53" s="113">
        <f>F54+F57+F61+F69</f>
        <v>10170</v>
      </c>
      <c r="G53" s="114"/>
      <c r="H53" s="115"/>
      <c r="I53" s="116"/>
    </row>
    <row r="54" spans="1:9" ht="18" customHeight="1">
      <c r="A54" s="338"/>
      <c r="B54" s="347"/>
      <c r="C54" s="82" t="s">
        <v>274</v>
      </c>
      <c r="D54" s="16">
        <v>131037</v>
      </c>
      <c r="E54" s="16">
        <v>127600</v>
      </c>
      <c r="F54" s="16">
        <f>+D54-E54</f>
        <v>3437</v>
      </c>
      <c r="G54" s="18"/>
      <c r="H54" s="19"/>
      <c r="I54" s="20"/>
    </row>
    <row r="55" spans="1:9" ht="18" customHeight="1">
      <c r="A55" s="338"/>
      <c r="B55" s="347"/>
      <c r="C55" s="62"/>
      <c r="D55" s="16"/>
      <c r="E55" s="16"/>
      <c r="F55" s="16"/>
      <c r="G55" s="81" t="s">
        <v>438</v>
      </c>
      <c r="H55" s="45" t="s">
        <v>18</v>
      </c>
      <c r="I55" s="165">
        <v>131037000</v>
      </c>
    </row>
    <row r="56" spans="1:9" ht="18" customHeight="1">
      <c r="A56" s="338"/>
      <c r="B56" s="347"/>
      <c r="C56" s="64"/>
      <c r="D56" s="21"/>
      <c r="E56" s="21"/>
      <c r="F56" s="21"/>
      <c r="G56" s="47" t="s">
        <v>13</v>
      </c>
      <c r="H56" s="9"/>
      <c r="I56" s="48">
        <f>SUM(I54:I55)</f>
        <v>131037000</v>
      </c>
    </row>
    <row r="57" spans="1:9" ht="18" customHeight="1">
      <c r="A57" s="71"/>
      <c r="B57" s="72"/>
      <c r="C57" s="75" t="s">
        <v>275</v>
      </c>
      <c r="D57" s="11">
        <v>10410</v>
      </c>
      <c r="E57" s="11">
        <v>22380</v>
      </c>
      <c r="F57" s="11">
        <f>+D57-E57</f>
        <v>-11970</v>
      </c>
      <c r="G57" s="13"/>
      <c r="H57" s="14"/>
      <c r="I57" s="15"/>
    </row>
    <row r="58" spans="1:9" ht="18" customHeight="1">
      <c r="A58" s="71"/>
      <c r="B58" s="72"/>
      <c r="C58" s="16"/>
      <c r="D58" s="16"/>
      <c r="E58" s="16"/>
      <c r="F58" s="16"/>
      <c r="G58" s="81" t="s">
        <v>249</v>
      </c>
      <c r="H58" s="24"/>
      <c r="I58" s="20"/>
    </row>
    <row r="59" spans="1:9" ht="18" customHeight="1">
      <c r="A59" s="71"/>
      <c r="B59" s="72"/>
      <c r="C59" s="16"/>
      <c r="D59" s="16"/>
      <c r="E59" s="16"/>
      <c r="F59" s="16"/>
      <c r="G59" s="166" t="s">
        <v>439</v>
      </c>
      <c r="H59" s="45" t="s">
        <v>18</v>
      </c>
      <c r="I59" s="20">
        <v>10410000</v>
      </c>
    </row>
    <row r="60" spans="1:9" ht="18" customHeight="1">
      <c r="A60" s="71"/>
      <c r="B60" s="72"/>
      <c r="C60" s="21"/>
      <c r="D60" s="21"/>
      <c r="E60" s="21"/>
      <c r="F60" s="21"/>
      <c r="G60" s="47" t="s">
        <v>13</v>
      </c>
      <c r="H60" s="9"/>
      <c r="I60" s="48">
        <f>SUM(I59:I59)</f>
        <v>10410000</v>
      </c>
    </row>
    <row r="61" spans="1:9" ht="18" customHeight="1">
      <c r="A61" s="71"/>
      <c r="B61" s="72"/>
      <c r="C61" s="75" t="s">
        <v>82</v>
      </c>
      <c r="D61" s="16">
        <v>43094</v>
      </c>
      <c r="E61" s="16">
        <v>45360</v>
      </c>
      <c r="F61" s="16">
        <f>+D61-E61</f>
        <v>-2266</v>
      </c>
      <c r="G61" s="18"/>
      <c r="H61" s="24"/>
      <c r="I61" s="20"/>
    </row>
    <row r="62" spans="1:9" ht="16.5" customHeight="1">
      <c r="A62" s="71"/>
      <c r="B62" s="72"/>
      <c r="C62" s="16"/>
      <c r="D62" s="16"/>
      <c r="E62" s="16"/>
      <c r="F62" s="16"/>
      <c r="G62" s="18" t="s">
        <v>83</v>
      </c>
      <c r="H62" s="24"/>
      <c r="I62" s="20"/>
    </row>
    <row r="63" spans="1:9" ht="16.5" customHeight="1">
      <c r="A63" s="71"/>
      <c r="B63" s="72"/>
      <c r="C63" s="16"/>
      <c r="D63" s="16"/>
      <c r="E63" s="16"/>
      <c r="F63" s="16"/>
      <c r="G63" s="81" t="s">
        <v>441</v>
      </c>
      <c r="H63" s="45" t="s">
        <v>18</v>
      </c>
      <c r="I63" s="20">
        <v>7625000</v>
      </c>
    </row>
    <row r="64" spans="1:9" ht="16.5" customHeight="1">
      <c r="A64" s="71"/>
      <c r="B64" s="72"/>
      <c r="C64" s="16"/>
      <c r="D64" s="16"/>
      <c r="E64" s="16"/>
      <c r="F64" s="16"/>
      <c r="G64" s="81"/>
      <c r="H64" s="45"/>
      <c r="I64" s="20"/>
    </row>
    <row r="65" spans="1:9" ht="16.5" customHeight="1">
      <c r="A65" s="71"/>
      <c r="B65" s="72"/>
      <c r="C65" s="16"/>
      <c r="D65" s="16"/>
      <c r="E65" s="16"/>
      <c r="F65" s="16"/>
      <c r="G65" s="18" t="s">
        <v>84</v>
      </c>
      <c r="H65" s="24"/>
      <c r="I65" s="20"/>
    </row>
    <row r="66" spans="1:9" ht="17.25" customHeight="1">
      <c r="A66" s="71"/>
      <c r="B66" s="72"/>
      <c r="C66" s="16"/>
      <c r="D66" s="16"/>
      <c r="E66" s="16"/>
      <c r="F66" s="16"/>
      <c r="G66" s="81" t="s">
        <v>440</v>
      </c>
      <c r="H66" s="45" t="s">
        <v>20</v>
      </c>
      <c r="I66" s="20">
        <v>35469000</v>
      </c>
    </row>
    <row r="67" spans="1:9" ht="16.5" customHeight="1">
      <c r="A67" s="71"/>
      <c r="B67" s="72"/>
      <c r="C67" s="16"/>
      <c r="D67" s="16"/>
      <c r="E67" s="16"/>
      <c r="F67" s="16"/>
      <c r="G67" s="81"/>
      <c r="H67" s="45"/>
      <c r="I67" s="20"/>
    </row>
    <row r="68" spans="1:9" ht="18" customHeight="1">
      <c r="A68" s="71"/>
      <c r="B68" s="72"/>
      <c r="C68" s="16"/>
      <c r="D68" s="21"/>
      <c r="E68" s="21"/>
      <c r="F68" s="21"/>
      <c r="G68" s="47" t="s">
        <v>13</v>
      </c>
      <c r="H68" s="9"/>
      <c r="I68" s="48">
        <f>SUM(I63:I67)</f>
        <v>43094000</v>
      </c>
    </row>
    <row r="69" spans="1:9" ht="18" customHeight="1">
      <c r="A69" s="71"/>
      <c r="B69" s="72"/>
      <c r="C69" s="75" t="s">
        <v>85</v>
      </c>
      <c r="D69" s="16">
        <v>154049</v>
      </c>
      <c r="E69" s="16">
        <v>133080</v>
      </c>
      <c r="F69" s="16">
        <f>+D69-E69</f>
        <v>20969</v>
      </c>
      <c r="G69" s="18"/>
      <c r="H69" s="24"/>
      <c r="I69" s="20"/>
    </row>
    <row r="70" spans="1:9" ht="16.5" customHeight="1">
      <c r="A70" s="71"/>
      <c r="B70" s="72"/>
      <c r="C70" s="16"/>
      <c r="D70" s="16"/>
      <c r="E70" s="16"/>
      <c r="F70" s="16"/>
      <c r="G70" s="81" t="s">
        <v>443</v>
      </c>
      <c r="H70" s="45" t="s">
        <v>20</v>
      </c>
      <c r="I70" s="20">
        <v>133219000</v>
      </c>
    </row>
    <row r="71" spans="1:9" ht="16.5" customHeight="1">
      <c r="A71" s="71"/>
      <c r="B71" s="72"/>
      <c r="C71" s="16"/>
      <c r="D71" s="16"/>
      <c r="E71" s="16"/>
      <c r="F71" s="16"/>
      <c r="G71" s="81" t="s">
        <v>442</v>
      </c>
      <c r="H71" s="45" t="s">
        <v>18</v>
      </c>
      <c r="I71" s="20">
        <v>20830000</v>
      </c>
    </row>
    <row r="72" spans="1:9" ht="17.25" customHeight="1">
      <c r="A72" s="71"/>
      <c r="B72" s="72"/>
      <c r="C72" s="16"/>
      <c r="D72" s="16"/>
      <c r="E72" s="16"/>
      <c r="F72" s="16"/>
      <c r="G72" s="81"/>
      <c r="H72" s="45"/>
      <c r="I72" s="20"/>
    </row>
    <row r="73" spans="1:9" ht="18" customHeight="1">
      <c r="A73" s="71"/>
      <c r="B73" s="72"/>
      <c r="C73" s="23"/>
      <c r="D73" s="21"/>
      <c r="E73" s="21"/>
      <c r="F73" s="21"/>
      <c r="G73" s="47" t="s">
        <v>13</v>
      </c>
      <c r="H73" s="9"/>
      <c r="I73" s="48">
        <f>SUM(I70:I72)</f>
        <v>154049000</v>
      </c>
    </row>
    <row r="74" spans="1:9" ht="18" customHeight="1">
      <c r="A74" s="349" t="s">
        <v>49</v>
      </c>
      <c r="B74" s="350"/>
      <c r="C74" s="351"/>
      <c r="D74" s="109">
        <f>SUM(D75+D77)</f>
        <v>3336</v>
      </c>
      <c r="E74" s="109">
        <f>SUM(E75+E77)</f>
        <v>2280</v>
      </c>
      <c r="F74" s="109">
        <f>SUM(F77,F76)</f>
        <v>956</v>
      </c>
      <c r="G74" s="110"/>
      <c r="H74" s="111"/>
      <c r="I74" s="112"/>
    </row>
    <row r="75" spans="1:9" ht="18" customHeight="1">
      <c r="A75" s="345"/>
      <c r="B75" s="348" t="s">
        <v>50</v>
      </c>
      <c r="C75" s="344"/>
      <c r="D75" s="113">
        <f>SUM(D76)</f>
        <v>1281</v>
      </c>
      <c r="E75" s="113">
        <f>SUM(E76)</f>
        <v>1980</v>
      </c>
      <c r="F75" s="113">
        <f>SUM(F76)</f>
        <v>-699</v>
      </c>
      <c r="G75" s="114"/>
      <c r="H75" s="115"/>
      <c r="I75" s="116"/>
    </row>
    <row r="76" spans="1:9" ht="13.5" customHeight="1">
      <c r="A76" s="346"/>
      <c r="B76" s="11"/>
      <c r="C76" s="12" t="s">
        <v>51</v>
      </c>
      <c r="D76" s="11">
        <v>1281</v>
      </c>
      <c r="E76" s="11">
        <v>1980</v>
      </c>
      <c r="F76" s="11">
        <f>+D76-E76</f>
        <v>-699</v>
      </c>
      <c r="G76" s="18" t="s">
        <v>52</v>
      </c>
      <c r="H76" s="19"/>
      <c r="I76" s="20">
        <v>1281000</v>
      </c>
    </row>
    <row r="77" spans="1:9" ht="18" customHeight="1">
      <c r="A77" s="345"/>
      <c r="B77" s="343" t="s">
        <v>86</v>
      </c>
      <c r="C77" s="344"/>
      <c r="D77" s="113">
        <f>SUM(D78:D79)</f>
        <v>2055</v>
      </c>
      <c r="E77" s="113">
        <f>SUM(E79)</f>
        <v>300</v>
      </c>
      <c r="F77" s="113">
        <f>SUM(F79)</f>
        <v>1655</v>
      </c>
      <c r="G77" s="114"/>
      <c r="H77" s="115"/>
      <c r="I77" s="116"/>
    </row>
    <row r="78" spans="1:9" ht="19.5" customHeight="1">
      <c r="A78" s="346"/>
      <c r="B78" s="11"/>
      <c r="C78" s="12" t="s">
        <v>87</v>
      </c>
      <c r="D78" s="11">
        <v>100</v>
      </c>
      <c r="E78" s="11">
        <v>0</v>
      </c>
      <c r="F78" s="11">
        <f>+D78-E78</f>
        <v>100</v>
      </c>
      <c r="G78" s="81" t="s">
        <v>341</v>
      </c>
      <c r="H78" s="14"/>
      <c r="I78" s="15">
        <v>100000</v>
      </c>
    </row>
    <row r="79" spans="1:9" ht="19.5" customHeight="1">
      <c r="A79" s="346"/>
      <c r="B79" s="16"/>
      <c r="C79" s="266" t="s">
        <v>340</v>
      </c>
      <c r="D79" s="11">
        <v>1955</v>
      </c>
      <c r="E79" s="11">
        <v>300</v>
      </c>
      <c r="F79" s="11">
        <f>+D79-E79</f>
        <v>1655</v>
      </c>
      <c r="G79" s="267" t="s">
        <v>276</v>
      </c>
      <c r="H79" s="14"/>
      <c r="I79" s="15">
        <v>249000</v>
      </c>
    </row>
    <row r="80" spans="1:9" ht="19.5" customHeight="1">
      <c r="A80" s="140"/>
      <c r="B80" s="16"/>
      <c r="C80" s="268"/>
      <c r="D80" s="16"/>
      <c r="E80" s="16"/>
      <c r="F80" s="16"/>
      <c r="G80" s="81" t="s">
        <v>444</v>
      </c>
      <c r="H80" s="24"/>
      <c r="I80" s="20">
        <v>1706000</v>
      </c>
    </row>
    <row r="81" spans="1:9" ht="18" customHeight="1">
      <c r="A81" s="71"/>
      <c r="B81" s="269"/>
      <c r="C81" s="23"/>
      <c r="D81" s="21"/>
      <c r="E81" s="21"/>
      <c r="F81" s="21"/>
      <c r="G81" s="58" t="s">
        <v>13</v>
      </c>
      <c r="H81" s="9"/>
      <c r="I81" s="48">
        <f>SUM(I79:I80)</f>
        <v>1955000</v>
      </c>
    </row>
    <row r="82" spans="1:9" ht="18" customHeight="1">
      <c r="A82" s="340" t="s">
        <v>15</v>
      </c>
      <c r="B82" s="341"/>
      <c r="C82" s="342"/>
      <c r="D82" s="156">
        <f>SUM(D74+D52+D47+D32+D20+D6)</f>
        <v>1468107</v>
      </c>
      <c r="E82" s="156">
        <f>SUM(E74+E52+E47+E32+E20+E6)</f>
        <v>1343553</v>
      </c>
      <c r="F82" s="156">
        <f>D82-E82</f>
        <v>124554</v>
      </c>
      <c r="G82" s="157"/>
      <c r="H82" s="158"/>
      <c r="I82" s="159"/>
    </row>
  </sheetData>
  <sheetProtection/>
  <mergeCells count="34">
    <mergeCell ref="A21:A31"/>
    <mergeCell ref="B21:C21"/>
    <mergeCell ref="B30:B31"/>
    <mergeCell ref="B22:B23"/>
    <mergeCell ref="B24:B25"/>
    <mergeCell ref="B28:B29"/>
    <mergeCell ref="B26:B27"/>
    <mergeCell ref="A1:I1"/>
    <mergeCell ref="G4:I5"/>
    <mergeCell ref="A6:C6"/>
    <mergeCell ref="F4:F5"/>
    <mergeCell ref="D4:D5"/>
    <mergeCell ref="E4:E5"/>
    <mergeCell ref="A4:C4"/>
    <mergeCell ref="A7:A19"/>
    <mergeCell ref="B8:B18"/>
    <mergeCell ref="A52:C52"/>
    <mergeCell ref="A20:C20"/>
    <mergeCell ref="B49:B51"/>
    <mergeCell ref="A47:C47"/>
    <mergeCell ref="A32:C32"/>
    <mergeCell ref="C9:C11"/>
    <mergeCell ref="B7:C7"/>
    <mergeCell ref="C17:C19"/>
    <mergeCell ref="A42:A46"/>
    <mergeCell ref="A82:C82"/>
    <mergeCell ref="B77:C77"/>
    <mergeCell ref="A77:A79"/>
    <mergeCell ref="A34:A41"/>
    <mergeCell ref="A54:A56"/>
    <mergeCell ref="B54:B56"/>
    <mergeCell ref="A75:A76"/>
    <mergeCell ref="B75:C75"/>
    <mergeCell ref="A74:C74"/>
  </mergeCells>
  <printOptions horizontalCentered="1"/>
  <pageMargins left="0.3937007874015748" right="0.3937007874015748" top="0.9055118110236221" bottom="0.5905511811023623" header="0.5511811023622047" footer="0.2362204724409449"/>
  <pageSetup fitToHeight="0" horizontalDpi="600" verticalDpi="600" orientation="portrait" paperSize="9" scale="68" r:id="rId3"/>
  <headerFooter alignWithMargins="0">
    <oddFooter>&amp;C&amp;8-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6"/>
  <sheetViews>
    <sheetView showGridLines="0" view="pageLayout" workbookViewId="0" topLeftCell="A1">
      <selection activeCell="A4" sqref="A4:C4"/>
    </sheetView>
  </sheetViews>
  <sheetFormatPr defaultColWidth="10.28125" defaultRowHeight="18" customHeight="1"/>
  <cols>
    <col min="1" max="2" width="3.00390625" style="2" customWidth="1"/>
    <col min="3" max="3" width="19.7109375" style="2" customWidth="1"/>
    <col min="4" max="6" width="11.00390625" style="2" customWidth="1"/>
    <col min="7" max="7" width="22.7109375" style="25" customWidth="1"/>
    <col min="8" max="8" width="11.57421875" style="2" customWidth="1"/>
    <col min="9" max="9" width="3.00390625" style="2" customWidth="1"/>
    <col min="10" max="10" width="1.8515625" style="2" customWidth="1"/>
    <col min="11" max="11" width="5.28125" style="2" customWidth="1"/>
    <col min="12" max="12" width="4.7109375" style="42" customWidth="1"/>
    <col min="13" max="13" width="1.8515625" style="2" customWidth="1"/>
    <col min="14" max="14" width="5.00390625" style="2" customWidth="1"/>
    <col min="15" max="15" width="4.00390625" style="42" customWidth="1"/>
    <col min="16" max="16" width="4.421875" style="2" customWidth="1"/>
    <col min="17" max="17" width="4.00390625" style="42" customWidth="1"/>
    <col min="18" max="18" width="2.00390625" style="2" customWidth="1"/>
    <col min="19" max="19" width="13.140625" style="57" customWidth="1"/>
    <col min="20" max="20" width="12.8515625" style="2" bestFit="1" customWidth="1"/>
    <col min="21" max="21" width="12.00390625" style="2" bestFit="1" customWidth="1"/>
    <col min="22" max="16384" width="10.28125" style="2" customWidth="1"/>
  </cols>
  <sheetData>
    <row r="1" spans="1:19" ht="21" customHeight="1">
      <c r="A1" s="366" t="s">
        <v>427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21" customHeight="1">
      <c r="A2" s="3"/>
      <c r="B2" s="4"/>
      <c r="C2" s="4"/>
      <c r="D2" s="4"/>
      <c r="E2" s="4"/>
      <c r="F2" s="4"/>
      <c r="G2" s="5"/>
      <c r="H2" s="1"/>
      <c r="I2" s="1"/>
      <c r="J2" s="1"/>
      <c r="K2" s="1"/>
      <c r="M2" s="1"/>
      <c r="N2" s="1"/>
      <c r="P2" s="1"/>
      <c r="R2" s="1"/>
      <c r="S2" s="53"/>
    </row>
    <row r="3" spans="1:19" ht="22.5" customHeight="1">
      <c r="A3" s="26" t="s">
        <v>394</v>
      </c>
      <c r="B3" s="26"/>
      <c r="C3" s="26"/>
      <c r="D3" s="270"/>
      <c r="E3" s="270"/>
      <c r="G3" s="2"/>
      <c r="I3" s="298"/>
      <c r="S3" s="299" t="s">
        <v>395</v>
      </c>
    </row>
    <row r="4" spans="1:19" ht="20.25" customHeight="1">
      <c r="A4" s="375" t="s">
        <v>7</v>
      </c>
      <c r="B4" s="376"/>
      <c r="C4" s="376"/>
      <c r="D4" s="409" t="s">
        <v>245</v>
      </c>
      <c r="E4" s="374" t="s">
        <v>246</v>
      </c>
      <c r="F4" s="407" t="s">
        <v>215</v>
      </c>
      <c r="G4" s="391" t="s">
        <v>9</v>
      </c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2"/>
    </row>
    <row r="5" spans="1:19" ht="20.25" customHeight="1">
      <c r="A5" s="6" t="s">
        <v>10</v>
      </c>
      <c r="B5" s="7" t="s">
        <v>11</v>
      </c>
      <c r="C5" s="34" t="s">
        <v>12</v>
      </c>
      <c r="D5" s="410"/>
      <c r="E5" s="372"/>
      <c r="F5" s="408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4"/>
    </row>
    <row r="6" spans="1:19" ht="18" customHeight="1">
      <c r="A6" s="403" t="s">
        <v>19</v>
      </c>
      <c r="B6" s="404"/>
      <c r="C6" s="404"/>
      <c r="D6" s="124">
        <f>D7+D19+D57+D66+D99</f>
        <v>755380</v>
      </c>
      <c r="E6" s="124">
        <f>E7+E19+E57+E66+E99</f>
        <v>796210</v>
      </c>
      <c r="F6" s="124">
        <f>F7+F19+F57+F66+F99</f>
        <v>-40830</v>
      </c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6"/>
    </row>
    <row r="7" spans="1:19" ht="17.25" customHeight="1">
      <c r="A7" s="10"/>
      <c r="B7" s="405" t="s">
        <v>53</v>
      </c>
      <c r="C7" s="406"/>
      <c r="D7" s="127">
        <f>SUM(D8+D12+D16)</f>
        <v>279805</v>
      </c>
      <c r="E7" s="127">
        <f>SUM(E8+E12+E16)</f>
        <v>309267</v>
      </c>
      <c r="F7" s="128">
        <f>F8+F12+F16</f>
        <v>-29462</v>
      </c>
      <c r="G7" s="397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9"/>
    </row>
    <row r="8" spans="1:19" ht="17.25" customHeight="1">
      <c r="A8" s="10"/>
      <c r="B8" s="11"/>
      <c r="C8" s="35" t="s">
        <v>54</v>
      </c>
      <c r="D8" s="8">
        <v>171106</v>
      </c>
      <c r="E8" s="11">
        <v>200868</v>
      </c>
      <c r="F8" s="40">
        <f>+D8-E8</f>
        <v>-29762</v>
      </c>
      <c r="G8" s="37"/>
      <c r="H8" s="14"/>
      <c r="I8" s="14"/>
      <c r="J8" s="14"/>
      <c r="K8" s="14"/>
      <c r="L8" s="30"/>
      <c r="M8" s="14"/>
      <c r="N8" s="14"/>
      <c r="O8" s="30"/>
      <c r="P8" s="14"/>
      <c r="Q8" s="30"/>
      <c r="R8" s="14"/>
      <c r="S8" s="54"/>
    </row>
    <row r="9" spans="1:19" ht="17.25" customHeight="1">
      <c r="A9" s="10"/>
      <c r="B9" s="16"/>
      <c r="C9" s="36"/>
      <c r="D9" s="10"/>
      <c r="E9" s="16"/>
      <c r="F9" s="41"/>
      <c r="G9" s="38" t="s">
        <v>55</v>
      </c>
      <c r="H9" s="27">
        <v>3783240</v>
      </c>
      <c r="I9" s="28" t="s">
        <v>4</v>
      </c>
      <c r="J9" s="28" t="s">
        <v>1</v>
      </c>
      <c r="K9" s="302">
        <v>3.5</v>
      </c>
      <c r="L9" s="43" t="s">
        <v>0</v>
      </c>
      <c r="M9" s="28" t="s">
        <v>1</v>
      </c>
      <c r="N9" s="29">
        <v>12</v>
      </c>
      <c r="O9" s="43" t="s">
        <v>2</v>
      </c>
      <c r="P9" s="24"/>
      <c r="Q9" s="31"/>
      <c r="R9" s="230" t="s">
        <v>18</v>
      </c>
      <c r="S9" s="56">
        <v>158896140</v>
      </c>
    </row>
    <row r="10" spans="1:19" ht="17.25" customHeight="1">
      <c r="A10" s="10"/>
      <c r="B10" s="16"/>
      <c r="C10" s="36"/>
      <c r="D10" s="10"/>
      <c r="E10" s="16"/>
      <c r="F10" s="41"/>
      <c r="G10" s="38" t="s">
        <v>125</v>
      </c>
      <c r="H10" s="27">
        <v>1744270</v>
      </c>
      <c r="I10" s="28" t="s">
        <v>4</v>
      </c>
      <c r="J10" s="28" t="s">
        <v>1</v>
      </c>
      <c r="K10" s="302">
        <v>3.5</v>
      </c>
      <c r="L10" s="43" t="s">
        <v>0</v>
      </c>
      <c r="M10" s="28" t="s">
        <v>1</v>
      </c>
      <c r="N10" s="29">
        <v>2</v>
      </c>
      <c r="O10" s="43" t="s">
        <v>2</v>
      </c>
      <c r="P10" s="29"/>
      <c r="Q10" s="43"/>
      <c r="R10" s="24" t="s">
        <v>20</v>
      </c>
      <c r="S10" s="256">
        <v>12209860</v>
      </c>
    </row>
    <row r="11" spans="1:19" ht="17.25" customHeight="1">
      <c r="A11" s="10"/>
      <c r="B11" s="16"/>
      <c r="C11" s="22"/>
      <c r="D11" s="33"/>
      <c r="E11" s="64"/>
      <c r="F11" s="39"/>
      <c r="G11" s="385" t="s">
        <v>17</v>
      </c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83">
        <f>ROUNDDOWN(S9+S10,-3)</f>
        <v>171106000</v>
      </c>
    </row>
    <row r="12" spans="1:19" ht="17.25" customHeight="1">
      <c r="A12" s="10"/>
      <c r="B12" s="16"/>
      <c r="C12" s="35" t="s">
        <v>145</v>
      </c>
      <c r="D12" s="8">
        <v>50694</v>
      </c>
      <c r="E12" s="11">
        <v>50751</v>
      </c>
      <c r="F12" s="40">
        <f>+D12-E12</f>
        <v>-57</v>
      </c>
      <c r="G12" s="37"/>
      <c r="H12" s="14"/>
      <c r="I12" s="14"/>
      <c r="J12" s="14"/>
      <c r="K12" s="14"/>
      <c r="L12" s="30"/>
      <c r="M12" s="14"/>
      <c r="N12" s="14"/>
      <c r="O12" s="30"/>
      <c r="P12" s="14"/>
      <c r="Q12" s="30"/>
      <c r="R12" s="14"/>
      <c r="S12" s="54"/>
    </row>
    <row r="13" spans="1:19" ht="17.25" customHeight="1">
      <c r="A13" s="10"/>
      <c r="B13" s="16"/>
      <c r="C13" s="36"/>
      <c r="D13" s="10"/>
      <c r="E13" s="16"/>
      <c r="F13" s="41"/>
      <c r="G13" s="38" t="s">
        <v>194</v>
      </c>
      <c r="H13" s="27">
        <v>3895660</v>
      </c>
      <c r="I13" s="28" t="s">
        <v>4</v>
      </c>
      <c r="J13" s="28" t="s">
        <v>1</v>
      </c>
      <c r="K13" s="27">
        <v>1</v>
      </c>
      <c r="L13" s="43" t="s">
        <v>0</v>
      </c>
      <c r="M13" s="28" t="s">
        <v>1</v>
      </c>
      <c r="N13" s="29">
        <v>12</v>
      </c>
      <c r="O13" s="43" t="s">
        <v>2</v>
      </c>
      <c r="P13" s="24"/>
      <c r="Q13" s="31"/>
      <c r="R13" s="230" t="s">
        <v>18</v>
      </c>
      <c r="S13" s="56">
        <v>46747980</v>
      </c>
    </row>
    <row r="14" spans="1:19" ht="17.25" customHeight="1">
      <c r="A14" s="10"/>
      <c r="B14" s="16"/>
      <c r="C14" s="36"/>
      <c r="D14" s="10"/>
      <c r="E14" s="16"/>
      <c r="F14" s="41"/>
      <c r="G14" s="38" t="s">
        <v>125</v>
      </c>
      <c r="H14" s="27">
        <v>1973010</v>
      </c>
      <c r="I14" s="28" t="s">
        <v>4</v>
      </c>
      <c r="J14" s="28" t="s">
        <v>1</v>
      </c>
      <c r="K14" s="27">
        <v>1</v>
      </c>
      <c r="L14" s="43" t="s">
        <v>0</v>
      </c>
      <c r="M14" s="28" t="s">
        <v>1</v>
      </c>
      <c r="N14" s="29">
        <v>2</v>
      </c>
      <c r="O14" s="43" t="s">
        <v>2</v>
      </c>
      <c r="P14" s="29"/>
      <c r="Q14" s="43"/>
      <c r="R14" s="24" t="s">
        <v>20</v>
      </c>
      <c r="S14" s="56">
        <v>3946020</v>
      </c>
    </row>
    <row r="15" spans="1:19" ht="17.25" customHeight="1">
      <c r="A15" s="10"/>
      <c r="B15" s="16"/>
      <c r="C15" s="22"/>
      <c r="D15" s="33"/>
      <c r="E15" s="64"/>
      <c r="F15" s="39"/>
      <c r="G15" s="385" t="s">
        <v>17</v>
      </c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83">
        <f>ROUNDDOWN(S13+S14,-3)</f>
        <v>50694000</v>
      </c>
    </row>
    <row r="16" spans="1:19" ht="17.25" customHeight="1">
      <c r="A16" s="10"/>
      <c r="B16" s="16"/>
      <c r="C16" s="167" t="s">
        <v>286</v>
      </c>
      <c r="D16" s="8">
        <v>58005</v>
      </c>
      <c r="E16" s="11">
        <v>57648</v>
      </c>
      <c r="F16" s="40">
        <f>+D16-E16</f>
        <v>357</v>
      </c>
      <c r="G16" s="37"/>
      <c r="H16" s="14"/>
      <c r="I16" s="14"/>
      <c r="J16" s="14"/>
      <c r="K16" s="14"/>
      <c r="L16" s="30"/>
      <c r="M16" s="14"/>
      <c r="N16" s="14"/>
      <c r="O16" s="30"/>
      <c r="P16" s="14"/>
      <c r="Q16" s="30"/>
      <c r="R16" s="14"/>
      <c r="S16" s="54"/>
    </row>
    <row r="17" spans="1:19" ht="17.25" customHeight="1">
      <c r="A17" s="10"/>
      <c r="B17" s="16"/>
      <c r="C17" s="36"/>
      <c r="D17" s="10"/>
      <c r="E17" s="16"/>
      <c r="F17" s="41"/>
      <c r="G17" s="38" t="s">
        <v>287</v>
      </c>
      <c r="H17" s="27">
        <v>1611250</v>
      </c>
      <c r="I17" s="28" t="s">
        <v>4</v>
      </c>
      <c r="J17" s="28" t="s">
        <v>1</v>
      </c>
      <c r="K17" s="27">
        <v>3</v>
      </c>
      <c r="L17" s="43" t="s">
        <v>0</v>
      </c>
      <c r="M17" s="28" t="s">
        <v>1</v>
      </c>
      <c r="N17" s="29">
        <v>12</v>
      </c>
      <c r="O17" s="43" t="s">
        <v>2</v>
      </c>
      <c r="P17" s="24"/>
      <c r="Q17" s="31"/>
      <c r="R17" s="230" t="s">
        <v>18</v>
      </c>
      <c r="S17" s="56">
        <v>58005000</v>
      </c>
    </row>
    <row r="18" spans="1:19" ht="17.25" customHeight="1">
      <c r="A18" s="10"/>
      <c r="B18" s="21"/>
      <c r="C18" s="22"/>
      <c r="D18" s="33"/>
      <c r="E18" s="64"/>
      <c r="F18" s="39"/>
      <c r="G18" s="385" t="s">
        <v>17</v>
      </c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83">
        <f>ROUNDUP(S17,-3)</f>
        <v>58005000</v>
      </c>
    </row>
    <row r="19" spans="1:19" ht="17.25" customHeight="1">
      <c r="A19" s="10"/>
      <c r="B19" s="348" t="s">
        <v>56</v>
      </c>
      <c r="C19" s="378"/>
      <c r="D19" s="129">
        <f>SUM(D20+D37+D45)</f>
        <v>31468</v>
      </c>
      <c r="E19" s="129">
        <f>SUM(E20+E37+E45)</f>
        <v>33865</v>
      </c>
      <c r="F19" s="318">
        <f>F20+F37+F45</f>
        <v>-2397</v>
      </c>
      <c r="G19" s="130"/>
      <c r="H19" s="131"/>
      <c r="I19" s="132"/>
      <c r="J19" s="132"/>
      <c r="K19" s="131"/>
      <c r="L19" s="133"/>
      <c r="M19" s="132"/>
      <c r="N19" s="134"/>
      <c r="O19" s="133"/>
      <c r="P19" s="134"/>
      <c r="Q19" s="133"/>
      <c r="R19" s="135"/>
      <c r="S19" s="136"/>
    </row>
    <row r="20" spans="1:19" ht="17.25" customHeight="1">
      <c r="A20" s="10"/>
      <c r="B20" s="16"/>
      <c r="C20" s="81" t="s">
        <v>57</v>
      </c>
      <c r="D20" s="8">
        <v>10700</v>
      </c>
      <c r="E20" s="63">
        <v>13390</v>
      </c>
      <c r="F20" s="40">
        <f>+D20-E20</f>
        <v>-2690</v>
      </c>
      <c r="G20" s="37"/>
      <c r="H20" s="14"/>
      <c r="I20" s="14"/>
      <c r="J20" s="14"/>
      <c r="K20" s="14"/>
      <c r="L20" s="30"/>
      <c r="M20" s="14"/>
      <c r="N20" s="14"/>
      <c r="O20" s="30"/>
      <c r="P20" s="14"/>
      <c r="Q20" s="30"/>
      <c r="R20" s="14"/>
      <c r="S20" s="54"/>
    </row>
    <row r="21" spans="1:19" ht="17.25" customHeight="1">
      <c r="A21" s="10"/>
      <c r="B21" s="16"/>
      <c r="C21" s="36"/>
      <c r="D21" s="10"/>
      <c r="E21" s="16"/>
      <c r="F21" s="41"/>
      <c r="G21" s="38" t="s">
        <v>126</v>
      </c>
      <c r="H21" s="27">
        <v>250000</v>
      </c>
      <c r="I21" s="28" t="s">
        <v>4</v>
      </c>
      <c r="J21" s="28" t="s">
        <v>1</v>
      </c>
      <c r="K21" s="27">
        <v>1</v>
      </c>
      <c r="L21" s="43" t="s">
        <v>0</v>
      </c>
      <c r="M21" s="28" t="s">
        <v>1</v>
      </c>
      <c r="N21" s="29">
        <v>12</v>
      </c>
      <c r="O21" s="43" t="s">
        <v>2</v>
      </c>
      <c r="P21" s="24"/>
      <c r="Q21" s="24"/>
      <c r="R21" s="24" t="s">
        <v>20</v>
      </c>
      <c r="S21" s="56">
        <v>1500000</v>
      </c>
    </row>
    <row r="22" spans="1:19" ht="17.25" customHeight="1">
      <c r="A22" s="10"/>
      <c r="B22" s="16"/>
      <c r="C22" s="36"/>
      <c r="D22" s="10"/>
      <c r="E22" s="16"/>
      <c r="F22" s="41"/>
      <c r="G22" s="38" t="s">
        <v>127</v>
      </c>
      <c r="H22" s="27"/>
      <c r="I22" s="28"/>
      <c r="J22" s="28"/>
      <c r="K22" s="27"/>
      <c r="L22" s="43"/>
      <c r="M22" s="28"/>
      <c r="N22" s="29"/>
      <c r="O22" s="43"/>
      <c r="P22" s="29"/>
      <c r="Q22" s="43"/>
      <c r="R22" s="24"/>
      <c r="S22" s="56"/>
    </row>
    <row r="23" spans="1:19" ht="17.25" customHeight="1">
      <c r="A23" s="10"/>
      <c r="B23" s="16"/>
      <c r="C23" s="36"/>
      <c r="D23" s="10"/>
      <c r="E23" s="16"/>
      <c r="F23" s="41"/>
      <c r="G23" s="38" t="s">
        <v>128</v>
      </c>
      <c r="H23" s="27">
        <v>130000</v>
      </c>
      <c r="I23" s="28" t="s">
        <v>4</v>
      </c>
      <c r="J23" s="28" t="s">
        <v>1</v>
      </c>
      <c r="K23" s="27">
        <v>0</v>
      </c>
      <c r="L23" s="43" t="s">
        <v>0</v>
      </c>
      <c r="M23" s="28" t="s">
        <v>1</v>
      </c>
      <c r="N23" s="29">
        <v>12</v>
      </c>
      <c r="O23" s="43" t="s">
        <v>2</v>
      </c>
      <c r="P23" s="24"/>
      <c r="Q23" s="24"/>
      <c r="R23" s="24" t="s">
        <v>20</v>
      </c>
      <c r="S23" s="56">
        <f>H23*K23*N23</f>
        <v>0</v>
      </c>
    </row>
    <row r="24" spans="1:19" ht="17.25" customHeight="1">
      <c r="A24" s="10"/>
      <c r="B24" s="16"/>
      <c r="C24" s="36"/>
      <c r="D24" s="10"/>
      <c r="E24" s="16"/>
      <c r="F24" s="41"/>
      <c r="G24" s="38" t="s">
        <v>250</v>
      </c>
      <c r="H24" s="27">
        <v>113880</v>
      </c>
      <c r="I24" s="28" t="s">
        <v>4</v>
      </c>
      <c r="J24" s="28" t="s">
        <v>1</v>
      </c>
      <c r="K24" s="27">
        <v>3</v>
      </c>
      <c r="L24" s="43" t="s">
        <v>0</v>
      </c>
      <c r="M24" s="28" t="s">
        <v>1</v>
      </c>
      <c r="N24" s="29">
        <v>12</v>
      </c>
      <c r="O24" s="43" t="s">
        <v>2</v>
      </c>
      <c r="P24" s="24"/>
      <c r="Q24" s="24"/>
      <c r="R24" s="24" t="s">
        <v>20</v>
      </c>
      <c r="S24" s="56">
        <v>4020000</v>
      </c>
    </row>
    <row r="25" spans="1:19" ht="17.25" customHeight="1">
      <c r="A25" s="10"/>
      <c r="B25" s="16"/>
      <c r="C25" s="36"/>
      <c r="D25" s="10"/>
      <c r="E25" s="16"/>
      <c r="F25" s="41"/>
      <c r="G25" s="38" t="s">
        <v>251</v>
      </c>
      <c r="H25" s="27">
        <v>80000</v>
      </c>
      <c r="I25" s="28" t="s">
        <v>4</v>
      </c>
      <c r="J25" s="28" t="s">
        <v>1</v>
      </c>
      <c r="K25" s="27">
        <v>0</v>
      </c>
      <c r="L25" s="43" t="s">
        <v>0</v>
      </c>
      <c r="M25" s="28" t="s">
        <v>1</v>
      </c>
      <c r="N25" s="29">
        <v>12</v>
      </c>
      <c r="O25" s="43" t="s">
        <v>2</v>
      </c>
      <c r="P25" s="24"/>
      <c r="Q25" s="24"/>
      <c r="R25" s="24" t="s">
        <v>20</v>
      </c>
      <c r="S25" s="56">
        <f>H25*K25*N25</f>
        <v>0</v>
      </c>
    </row>
    <row r="26" spans="1:19" ht="17.25" customHeight="1">
      <c r="A26" s="10"/>
      <c r="B26" s="16"/>
      <c r="C26" s="36"/>
      <c r="D26" s="10"/>
      <c r="E26" s="16"/>
      <c r="F26" s="41"/>
      <c r="G26" s="38" t="s">
        <v>130</v>
      </c>
      <c r="H26" s="27"/>
      <c r="I26" s="28"/>
      <c r="J26" s="28"/>
      <c r="K26" s="27"/>
      <c r="L26" s="43"/>
      <c r="M26" s="28"/>
      <c r="N26" s="29"/>
      <c r="O26" s="43"/>
      <c r="P26" s="29"/>
      <c r="Q26" s="43"/>
      <c r="R26" s="24"/>
      <c r="S26" s="256" t="s">
        <v>273</v>
      </c>
    </row>
    <row r="27" spans="1:19" ht="17.25" customHeight="1">
      <c r="A27" s="10"/>
      <c r="B27" s="16"/>
      <c r="C27" s="36"/>
      <c r="D27" s="10"/>
      <c r="E27" s="16"/>
      <c r="F27" s="41"/>
      <c r="G27" s="38" t="s">
        <v>131</v>
      </c>
      <c r="H27" s="27">
        <v>10000</v>
      </c>
      <c r="I27" s="28" t="s">
        <v>4</v>
      </c>
      <c r="J27" s="28" t="s">
        <v>1</v>
      </c>
      <c r="K27" s="27">
        <v>1</v>
      </c>
      <c r="L27" s="43" t="s">
        <v>0</v>
      </c>
      <c r="M27" s="28" t="s">
        <v>1</v>
      </c>
      <c r="N27" s="29">
        <v>12</v>
      </c>
      <c r="O27" s="43" t="s">
        <v>2</v>
      </c>
      <c r="P27" s="24"/>
      <c r="Q27" s="31"/>
      <c r="R27" s="24" t="s">
        <v>20</v>
      </c>
      <c r="S27" s="56">
        <f>H27*K27*N27</f>
        <v>120000</v>
      </c>
    </row>
    <row r="28" spans="1:19" ht="17.25" customHeight="1">
      <c r="A28" s="10"/>
      <c r="B28" s="16"/>
      <c r="C28" s="36"/>
      <c r="D28" s="10"/>
      <c r="E28" s="16"/>
      <c r="F28" s="41"/>
      <c r="G28" s="38" t="s">
        <v>288</v>
      </c>
      <c r="H28" s="27"/>
      <c r="I28" s="28" t="s">
        <v>4</v>
      </c>
      <c r="J28" s="28" t="s">
        <v>1</v>
      </c>
      <c r="K28" s="27"/>
      <c r="L28" s="43" t="s">
        <v>0</v>
      </c>
      <c r="M28" s="28" t="s">
        <v>1</v>
      </c>
      <c r="N28" s="29"/>
      <c r="O28" s="43" t="s">
        <v>2</v>
      </c>
      <c r="P28" s="24"/>
      <c r="Q28" s="31"/>
      <c r="R28" s="24" t="s">
        <v>18</v>
      </c>
      <c r="S28" s="56">
        <f>H28*K28*N28</f>
        <v>0</v>
      </c>
    </row>
    <row r="29" spans="1:19" ht="17.25" customHeight="1">
      <c r="A29" s="10"/>
      <c r="B29" s="16"/>
      <c r="C29" s="36"/>
      <c r="D29" s="10"/>
      <c r="E29" s="16"/>
      <c r="F29" s="41"/>
      <c r="G29" s="38" t="s">
        <v>344</v>
      </c>
      <c r="H29" s="27"/>
      <c r="I29" s="28" t="s">
        <v>4</v>
      </c>
      <c r="J29" s="28" t="s">
        <v>1</v>
      </c>
      <c r="K29" s="27"/>
      <c r="L29" s="43" t="s">
        <v>0</v>
      </c>
      <c r="M29" s="28" t="s">
        <v>1</v>
      </c>
      <c r="N29" s="29"/>
      <c r="O29" s="43" t="s">
        <v>2</v>
      </c>
      <c r="P29" s="24"/>
      <c r="Q29" s="31"/>
      <c r="R29" s="24" t="s">
        <v>18</v>
      </c>
      <c r="S29" s="56">
        <f>H29*K29*N29</f>
        <v>0</v>
      </c>
    </row>
    <row r="30" spans="1:19" ht="17.25" customHeight="1">
      <c r="A30" s="10"/>
      <c r="B30" s="16"/>
      <c r="C30" s="36"/>
      <c r="D30" s="10"/>
      <c r="E30" s="16"/>
      <c r="F30" s="41"/>
      <c r="G30" s="38" t="s">
        <v>345</v>
      </c>
      <c r="H30" s="27"/>
      <c r="I30" s="28" t="s">
        <v>4</v>
      </c>
      <c r="J30" s="28" t="s">
        <v>1</v>
      </c>
      <c r="K30" s="27"/>
      <c r="L30" s="43" t="s">
        <v>0</v>
      </c>
      <c r="M30" s="28" t="s">
        <v>1</v>
      </c>
      <c r="N30" s="29"/>
      <c r="O30" s="43" t="s">
        <v>2</v>
      </c>
      <c r="P30" s="24"/>
      <c r="Q30" s="31"/>
      <c r="R30" s="24" t="s">
        <v>18</v>
      </c>
      <c r="S30" s="56">
        <f>H30*K30*N30</f>
        <v>0</v>
      </c>
    </row>
    <row r="31" spans="1:19" ht="17.25" customHeight="1">
      <c r="A31" s="10"/>
      <c r="B31" s="16"/>
      <c r="C31" s="24"/>
      <c r="D31" s="10"/>
      <c r="E31" s="62"/>
      <c r="F31" s="41"/>
      <c r="G31" s="38" t="s">
        <v>132</v>
      </c>
      <c r="H31" s="24"/>
      <c r="I31" s="24"/>
      <c r="J31" s="24"/>
      <c r="K31" s="24"/>
      <c r="L31" s="31"/>
      <c r="M31" s="24"/>
      <c r="N31" s="24"/>
      <c r="O31" s="31"/>
      <c r="P31" s="24"/>
      <c r="Q31" s="31"/>
      <c r="R31" s="24"/>
      <c r="S31" s="55"/>
    </row>
    <row r="32" spans="1:19" ht="17.25" customHeight="1">
      <c r="A32" s="10"/>
      <c r="B32" s="16"/>
      <c r="C32" s="36"/>
      <c r="D32" s="10"/>
      <c r="E32" s="16"/>
      <c r="F32" s="41"/>
      <c r="G32" s="38" t="s">
        <v>133</v>
      </c>
      <c r="H32" s="27">
        <v>40000</v>
      </c>
      <c r="I32" s="28" t="s">
        <v>4</v>
      </c>
      <c r="J32" s="28" t="s">
        <v>1</v>
      </c>
      <c r="K32" s="27">
        <v>2</v>
      </c>
      <c r="L32" s="43" t="s">
        <v>0</v>
      </c>
      <c r="M32" s="28" t="s">
        <v>1</v>
      </c>
      <c r="N32" s="29">
        <v>12</v>
      </c>
      <c r="O32" s="43" t="s">
        <v>2</v>
      </c>
      <c r="P32" s="24"/>
      <c r="Q32" s="31"/>
      <c r="R32" s="24" t="s">
        <v>20</v>
      </c>
      <c r="S32" s="56">
        <v>960000</v>
      </c>
    </row>
    <row r="33" spans="1:19" ht="17.25" customHeight="1">
      <c r="A33" s="10"/>
      <c r="B33" s="16"/>
      <c r="C33" s="36"/>
      <c r="D33" s="10"/>
      <c r="E33" s="16"/>
      <c r="F33" s="41"/>
      <c r="G33" s="38" t="s">
        <v>252</v>
      </c>
      <c r="H33" s="27">
        <v>20000</v>
      </c>
      <c r="I33" s="28" t="s">
        <v>4</v>
      </c>
      <c r="J33" s="28" t="s">
        <v>1</v>
      </c>
      <c r="K33" s="27">
        <v>7</v>
      </c>
      <c r="L33" s="43" t="s">
        <v>0</v>
      </c>
      <c r="M33" s="28" t="s">
        <v>1</v>
      </c>
      <c r="N33" s="29">
        <v>12</v>
      </c>
      <c r="O33" s="43" t="s">
        <v>2</v>
      </c>
      <c r="P33" s="24"/>
      <c r="Q33" s="31"/>
      <c r="R33" s="24" t="s">
        <v>20</v>
      </c>
      <c r="S33" s="56">
        <v>1584000</v>
      </c>
    </row>
    <row r="34" spans="1:19" ht="17.25" customHeight="1">
      <c r="A34" s="10"/>
      <c r="B34" s="16"/>
      <c r="C34" s="36"/>
      <c r="D34" s="10"/>
      <c r="E34" s="16"/>
      <c r="F34" s="41"/>
      <c r="G34" s="38" t="s">
        <v>134</v>
      </c>
      <c r="H34" s="27">
        <v>30000</v>
      </c>
      <c r="I34" s="28" t="s">
        <v>4</v>
      </c>
      <c r="J34" s="28" t="s">
        <v>1</v>
      </c>
      <c r="K34" s="27">
        <v>1</v>
      </c>
      <c r="L34" s="43" t="s">
        <v>0</v>
      </c>
      <c r="M34" s="28" t="s">
        <v>1</v>
      </c>
      <c r="N34" s="29">
        <v>12</v>
      </c>
      <c r="O34" s="43" t="s">
        <v>2</v>
      </c>
      <c r="P34" s="24"/>
      <c r="Q34" s="31"/>
      <c r="R34" s="24" t="s">
        <v>20</v>
      </c>
      <c r="S34" s="56">
        <v>180000</v>
      </c>
    </row>
    <row r="35" spans="1:19" ht="17.25" customHeight="1">
      <c r="A35" s="10"/>
      <c r="B35" s="16"/>
      <c r="C35" s="36"/>
      <c r="D35" s="10"/>
      <c r="E35" s="16"/>
      <c r="F35" s="41"/>
      <c r="G35" s="38" t="s">
        <v>195</v>
      </c>
      <c r="H35" s="27"/>
      <c r="I35" s="28"/>
      <c r="J35" s="28"/>
      <c r="K35" s="27"/>
      <c r="L35" s="43"/>
      <c r="M35" s="28"/>
      <c r="N35" s="29"/>
      <c r="O35" s="43"/>
      <c r="P35" s="29"/>
      <c r="Q35" s="43"/>
      <c r="R35" s="24"/>
      <c r="S35" s="56">
        <v>2335400</v>
      </c>
    </row>
    <row r="36" spans="1:19" ht="17.25" customHeight="1">
      <c r="A36" s="10"/>
      <c r="B36" s="16"/>
      <c r="C36" s="22"/>
      <c r="D36" s="33"/>
      <c r="E36" s="64"/>
      <c r="F36" s="39"/>
      <c r="G36" s="385" t="s">
        <v>17</v>
      </c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83">
        <f>ROUNDUP(SUM(S21:S35),-3)</f>
        <v>10700000</v>
      </c>
    </row>
    <row r="37" spans="1:19" ht="17.25" customHeight="1">
      <c r="A37" s="10"/>
      <c r="B37" s="16"/>
      <c r="C37" s="81" t="s">
        <v>146</v>
      </c>
      <c r="D37" s="8">
        <v>4440</v>
      </c>
      <c r="E37" s="63">
        <v>4440</v>
      </c>
      <c r="F37" s="40">
        <f>+D37-E37</f>
        <v>0</v>
      </c>
      <c r="G37" s="37"/>
      <c r="H37" s="14"/>
      <c r="I37" s="14"/>
      <c r="J37" s="14"/>
      <c r="K37" s="14"/>
      <c r="L37" s="30"/>
      <c r="M37" s="14"/>
      <c r="N37" s="14"/>
      <c r="O37" s="30"/>
      <c r="P37" s="14"/>
      <c r="Q37" s="30"/>
      <c r="R37" s="14"/>
      <c r="S37" s="54"/>
    </row>
    <row r="38" spans="1:19" ht="17.25" customHeight="1">
      <c r="A38" s="10"/>
      <c r="B38" s="16"/>
      <c r="C38" s="24"/>
      <c r="D38" s="10"/>
      <c r="E38" s="62"/>
      <c r="F38" s="41"/>
      <c r="G38" s="38" t="s">
        <v>132</v>
      </c>
      <c r="H38" s="24"/>
      <c r="I38" s="24"/>
      <c r="J38" s="24"/>
      <c r="K38" s="24"/>
      <c r="L38" s="31"/>
      <c r="M38" s="24"/>
      <c r="N38" s="24"/>
      <c r="O38" s="31"/>
      <c r="P38" s="24"/>
      <c r="Q38" s="31"/>
      <c r="R38" s="24"/>
      <c r="S38" s="55"/>
    </row>
    <row r="39" spans="1:19" ht="17.25" customHeight="1">
      <c r="A39" s="10"/>
      <c r="B39" s="16"/>
      <c r="C39" s="36"/>
      <c r="D39" s="10"/>
      <c r="E39" s="16"/>
      <c r="F39" s="41"/>
      <c r="G39" s="38" t="s">
        <v>133</v>
      </c>
      <c r="H39" s="27">
        <v>40000</v>
      </c>
      <c r="I39" s="28" t="s">
        <v>4</v>
      </c>
      <c r="J39" s="28" t="s">
        <v>1</v>
      </c>
      <c r="K39" s="27">
        <v>1</v>
      </c>
      <c r="L39" s="43" t="s">
        <v>0</v>
      </c>
      <c r="M39" s="28" t="s">
        <v>1</v>
      </c>
      <c r="N39" s="29">
        <v>12</v>
      </c>
      <c r="O39" s="43" t="s">
        <v>2</v>
      </c>
      <c r="P39" s="24"/>
      <c r="Q39" s="31"/>
      <c r="R39" s="24" t="s">
        <v>18</v>
      </c>
      <c r="S39" s="56">
        <f>H39*K39*N39</f>
        <v>480000</v>
      </c>
    </row>
    <row r="40" spans="1:19" ht="17.25" customHeight="1">
      <c r="A40" s="10"/>
      <c r="B40" s="16"/>
      <c r="C40" s="36"/>
      <c r="D40" s="10"/>
      <c r="E40" s="16"/>
      <c r="F40" s="41"/>
      <c r="G40" s="38" t="s">
        <v>252</v>
      </c>
      <c r="H40" s="27">
        <v>50000</v>
      </c>
      <c r="I40" s="28" t="s">
        <v>4</v>
      </c>
      <c r="J40" s="28" t="s">
        <v>1</v>
      </c>
      <c r="K40" s="27">
        <v>4</v>
      </c>
      <c r="L40" s="43" t="s">
        <v>0</v>
      </c>
      <c r="M40" s="28" t="s">
        <v>1</v>
      </c>
      <c r="N40" s="29">
        <v>12</v>
      </c>
      <c r="O40" s="43" t="s">
        <v>2</v>
      </c>
      <c r="P40" s="24"/>
      <c r="Q40" s="31"/>
      <c r="R40" s="24" t="s">
        <v>18</v>
      </c>
      <c r="S40" s="56">
        <v>2400000</v>
      </c>
    </row>
    <row r="41" spans="1:19" ht="17.25" customHeight="1">
      <c r="A41" s="10"/>
      <c r="B41" s="16"/>
      <c r="C41" s="24"/>
      <c r="D41" s="10"/>
      <c r="E41" s="62"/>
      <c r="F41" s="41"/>
      <c r="G41" s="38" t="s">
        <v>127</v>
      </c>
      <c r="H41" s="24"/>
      <c r="I41" s="24"/>
      <c r="J41" s="24"/>
      <c r="K41" s="24"/>
      <c r="L41" s="31"/>
      <c r="M41" s="24"/>
      <c r="N41" s="24"/>
      <c r="O41" s="31"/>
      <c r="P41" s="24"/>
      <c r="Q41" s="31"/>
      <c r="R41" s="24"/>
      <c r="S41" s="55"/>
    </row>
    <row r="42" spans="1:19" ht="17.25" customHeight="1">
      <c r="A42" s="10"/>
      <c r="B42" s="16"/>
      <c r="C42" s="36"/>
      <c r="D42" s="10"/>
      <c r="E42" s="16"/>
      <c r="F42" s="41"/>
      <c r="G42" s="38" t="s">
        <v>129</v>
      </c>
      <c r="H42" s="27">
        <v>130000</v>
      </c>
      <c r="I42" s="28" t="s">
        <v>4</v>
      </c>
      <c r="J42" s="28" t="s">
        <v>1</v>
      </c>
      <c r="K42" s="27">
        <v>1</v>
      </c>
      <c r="L42" s="43" t="s">
        <v>0</v>
      </c>
      <c r="M42" s="28" t="s">
        <v>1</v>
      </c>
      <c r="N42" s="29">
        <v>12</v>
      </c>
      <c r="O42" s="43" t="s">
        <v>2</v>
      </c>
      <c r="P42" s="24"/>
      <c r="Q42" s="31"/>
      <c r="R42" s="24" t="s">
        <v>18</v>
      </c>
      <c r="S42" s="56">
        <v>1560000</v>
      </c>
    </row>
    <row r="43" spans="1:19" ht="17.25" customHeight="1">
      <c r="A43" s="10"/>
      <c r="B43" s="16"/>
      <c r="C43" s="36"/>
      <c r="D43" s="10"/>
      <c r="E43" s="16"/>
      <c r="F43" s="41"/>
      <c r="G43" s="38" t="s">
        <v>253</v>
      </c>
      <c r="H43" s="27">
        <v>80000</v>
      </c>
      <c r="I43" s="28" t="s">
        <v>4</v>
      </c>
      <c r="J43" s="28" t="s">
        <v>1</v>
      </c>
      <c r="K43" s="27">
        <v>0</v>
      </c>
      <c r="L43" s="43" t="s">
        <v>0</v>
      </c>
      <c r="M43" s="28" t="s">
        <v>1</v>
      </c>
      <c r="N43" s="29">
        <v>12</v>
      </c>
      <c r="O43" s="43" t="s">
        <v>2</v>
      </c>
      <c r="P43" s="24"/>
      <c r="Q43" s="31"/>
      <c r="R43" s="24" t="s">
        <v>18</v>
      </c>
      <c r="S43" s="56">
        <f>H43*K43*N43</f>
        <v>0</v>
      </c>
    </row>
    <row r="44" spans="1:19" ht="17.25" customHeight="1">
      <c r="A44" s="10"/>
      <c r="B44" s="21"/>
      <c r="C44" s="22"/>
      <c r="D44" s="33"/>
      <c r="E44" s="64"/>
      <c r="F44" s="39"/>
      <c r="G44" s="385" t="s">
        <v>17</v>
      </c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83">
        <f>SUM(S37:S43)</f>
        <v>4440000</v>
      </c>
    </row>
    <row r="45" spans="1:19" ht="17.25" customHeight="1">
      <c r="A45" s="10"/>
      <c r="B45" s="16"/>
      <c r="C45" s="81" t="s">
        <v>277</v>
      </c>
      <c r="D45" s="8">
        <v>16328</v>
      </c>
      <c r="E45" s="63">
        <v>16035</v>
      </c>
      <c r="F45" s="40">
        <f>+D45-E45</f>
        <v>293</v>
      </c>
      <c r="G45" s="37"/>
      <c r="H45" s="14"/>
      <c r="I45" s="14"/>
      <c r="J45" s="14"/>
      <c r="K45" s="14"/>
      <c r="L45" s="30"/>
      <c r="M45" s="14"/>
      <c r="N45" s="14"/>
      <c r="O45" s="30"/>
      <c r="P45" s="14"/>
      <c r="Q45" s="30"/>
      <c r="R45" s="14"/>
      <c r="S45" s="54"/>
    </row>
    <row r="46" spans="1:19" ht="17.25" customHeight="1">
      <c r="A46" s="10"/>
      <c r="B46" s="16"/>
      <c r="C46" s="24"/>
      <c r="D46" s="10"/>
      <c r="E46" s="62"/>
      <c r="F46" s="41"/>
      <c r="G46" s="38" t="s">
        <v>289</v>
      </c>
      <c r="H46" s="27">
        <v>525000</v>
      </c>
      <c r="I46" s="28" t="s">
        <v>4</v>
      </c>
      <c r="J46" s="28" t="s">
        <v>1</v>
      </c>
      <c r="K46" s="27">
        <v>3</v>
      </c>
      <c r="L46" s="43" t="s">
        <v>0</v>
      </c>
      <c r="M46" s="28" t="s">
        <v>1</v>
      </c>
      <c r="N46" s="29">
        <v>2</v>
      </c>
      <c r="O46" s="43" t="s">
        <v>2</v>
      </c>
      <c r="P46" s="24"/>
      <c r="Q46" s="31"/>
      <c r="R46" s="24"/>
      <c r="S46" s="56">
        <v>3150000</v>
      </c>
    </row>
    <row r="47" spans="1:19" ht="17.25" customHeight="1">
      <c r="A47" s="10"/>
      <c r="B47" s="16"/>
      <c r="C47" s="24"/>
      <c r="D47" s="10"/>
      <c r="E47" s="62"/>
      <c r="F47" s="41"/>
      <c r="G47" s="38" t="s">
        <v>290</v>
      </c>
      <c r="H47" s="27">
        <v>1435670</v>
      </c>
      <c r="I47" s="28" t="s">
        <v>4</v>
      </c>
      <c r="J47" s="28" t="s">
        <v>1</v>
      </c>
      <c r="K47" s="27">
        <v>3</v>
      </c>
      <c r="L47" s="43" t="s">
        <v>0</v>
      </c>
      <c r="M47" s="28" t="s">
        <v>1</v>
      </c>
      <c r="N47" s="29">
        <v>1</v>
      </c>
      <c r="O47" s="43" t="s">
        <v>2</v>
      </c>
      <c r="P47" s="24"/>
      <c r="Q47" s="31"/>
      <c r="R47" s="24"/>
      <c r="S47" s="56">
        <f>4306020+980</f>
        <v>4307000</v>
      </c>
    </row>
    <row r="48" spans="1:19" ht="17.25" customHeight="1">
      <c r="A48" s="10"/>
      <c r="B48" s="16"/>
      <c r="C48" s="24"/>
      <c r="D48" s="10"/>
      <c r="E48" s="62"/>
      <c r="F48" s="41"/>
      <c r="G48" s="38" t="s">
        <v>346</v>
      </c>
      <c r="H48" s="27">
        <v>66670</v>
      </c>
      <c r="I48" s="28" t="s">
        <v>4</v>
      </c>
      <c r="J48" s="28" t="s">
        <v>1</v>
      </c>
      <c r="K48" s="27">
        <v>1</v>
      </c>
      <c r="L48" s="43" t="s">
        <v>0</v>
      </c>
      <c r="M48" s="28" t="s">
        <v>1</v>
      </c>
      <c r="N48" s="29">
        <v>12</v>
      </c>
      <c r="O48" s="43" t="s">
        <v>2</v>
      </c>
      <c r="P48" s="24"/>
      <c r="Q48" s="31"/>
      <c r="R48" s="24"/>
      <c r="S48" s="56">
        <v>800000</v>
      </c>
    </row>
    <row r="49" spans="1:19" ht="17.25" customHeight="1">
      <c r="A49" s="10"/>
      <c r="B49" s="16"/>
      <c r="C49" s="24"/>
      <c r="D49" s="10"/>
      <c r="E49" s="62"/>
      <c r="F49" s="41"/>
      <c r="G49" s="38" t="s">
        <v>291</v>
      </c>
      <c r="H49" s="27">
        <v>60000</v>
      </c>
      <c r="I49" s="28" t="s">
        <v>4</v>
      </c>
      <c r="J49" s="28" t="s">
        <v>1</v>
      </c>
      <c r="K49" s="27">
        <v>3</v>
      </c>
      <c r="L49" s="43" t="s">
        <v>0</v>
      </c>
      <c r="M49" s="28" t="s">
        <v>1</v>
      </c>
      <c r="N49" s="29">
        <v>12</v>
      </c>
      <c r="O49" s="43" t="s">
        <v>2</v>
      </c>
      <c r="P49" s="24"/>
      <c r="Q49" s="31"/>
      <c r="R49" s="24"/>
      <c r="S49" s="56">
        <v>2160000</v>
      </c>
    </row>
    <row r="50" spans="1:19" ht="17.25" customHeight="1">
      <c r="A50" s="10"/>
      <c r="B50" s="16"/>
      <c r="C50" s="24"/>
      <c r="D50" s="10"/>
      <c r="E50" s="62"/>
      <c r="F50" s="41"/>
      <c r="G50" s="38" t="s">
        <v>292</v>
      </c>
      <c r="H50" s="24"/>
      <c r="I50" s="24"/>
      <c r="J50" s="24"/>
      <c r="K50" s="24"/>
      <c r="L50" s="31"/>
      <c r="M50" s="24"/>
      <c r="N50" s="24"/>
      <c r="O50" s="31"/>
      <c r="P50" s="24"/>
      <c r="Q50" s="31"/>
      <c r="R50" s="24"/>
      <c r="S50" s="55"/>
    </row>
    <row r="51" spans="1:19" ht="17.25" customHeight="1">
      <c r="A51" s="10"/>
      <c r="B51" s="16"/>
      <c r="C51" s="36"/>
      <c r="D51" s="10"/>
      <c r="E51" s="16"/>
      <c r="F51" s="41"/>
      <c r="G51" s="38" t="s">
        <v>133</v>
      </c>
      <c r="H51" s="27">
        <v>40000</v>
      </c>
      <c r="I51" s="28" t="s">
        <v>4</v>
      </c>
      <c r="J51" s="28" t="s">
        <v>1</v>
      </c>
      <c r="K51" s="27">
        <v>3</v>
      </c>
      <c r="L51" s="43" t="s">
        <v>0</v>
      </c>
      <c r="M51" s="28" t="s">
        <v>1</v>
      </c>
      <c r="N51" s="29">
        <v>12</v>
      </c>
      <c r="O51" s="43" t="s">
        <v>2</v>
      </c>
      <c r="P51" s="24"/>
      <c r="Q51" s="31"/>
      <c r="R51" s="24" t="s">
        <v>18</v>
      </c>
      <c r="S51" s="56">
        <v>1440000</v>
      </c>
    </row>
    <row r="52" spans="1:19" ht="17.25" customHeight="1">
      <c r="A52" s="10"/>
      <c r="B52" s="16"/>
      <c r="C52" s="36"/>
      <c r="D52" s="10"/>
      <c r="E52" s="16"/>
      <c r="F52" s="41"/>
      <c r="G52" s="38" t="s">
        <v>252</v>
      </c>
      <c r="H52" s="27">
        <v>20000</v>
      </c>
      <c r="I52" s="28" t="s">
        <v>4</v>
      </c>
      <c r="J52" s="28" t="s">
        <v>1</v>
      </c>
      <c r="K52" s="27">
        <v>2</v>
      </c>
      <c r="L52" s="43" t="s">
        <v>0</v>
      </c>
      <c r="M52" s="28" t="s">
        <v>1</v>
      </c>
      <c r="N52" s="29">
        <v>12</v>
      </c>
      <c r="O52" s="43" t="s">
        <v>2</v>
      </c>
      <c r="P52" s="24"/>
      <c r="Q52" s="31"/>
      <c r="R52" s="24" t="s">
        <v>18</v>
      </c>
      <c r="S52" s="56">
        <v>480000</v>
      </c>
    </row>
    <row r="53" spans="1:19" ht="17.25" customHeight="1">
      <c r="A53" s="10"/>
      <c r="B53" s="16"/>
      <c r="C53" s="24"/>
      <c r="D53" s="10"/>
      <c r="E53" s="62"/>
      <c r="F53" s="41"/>
      <c r="G53" s="38" t="s">
        <v>445</v>
      </c>
      <c r="H53" s="27">
        <v>100830</v>
      </c>
      <c r="I53" s="28" t="s">
        <v>4</v>
      </c>
      <c r="J53" s="28" t="s">
        <v>1</v>
      </c>
      <c r="K53" s="27">
        <v>3</v>
      </c>
      <c r="L53" s="43" t="s">
        <v>0</v>
      </c>
      <c r="M53" s="28" t="s">
        <v>1</v>
      </c>
      <c r="N53" s="29">
        <v>12</v>
      </c>
      <c r="O53" s="43" t="s">
        <v>2</v>
      </c>
      <c r="P53" s="24"/>
      <c r="Q53" s="31"/>
      <c r="R53" s="24" t="s">
        <v>18</v>
      </c>
      <c r="S53" s="56">
        <v>3630000</v>
      </c>
    </row>
    <row r="54" spans="1:19" ht="17.25" customHeight="1">
      <c r="A54" s="10"/>
      <c r="B54" s="16"/>
      <c r="C54" s="24"/>
      <c r="D54" s="10"/>
      <c r="E54" s="62"/>
      <c r="F54" s="41"/>
      <c r="G54" s="38" t="s">
        <v>293</v>
      </c>
      <c r="H54" s="27">
        <v>1690</v>
      </c>
      <c r="I54" s="28" t="s">
        <v>4</v>
      </c>
      <c r="J54" s="258" t="s">
        <v>1</v>
      </c>
      <c r="K54" s="27">
        <v>3</v>
      </c>
      <c r="L54" s="43" t="s">
        <v>0</v>
      </c>
      <c r="M54" s="28" t="s">
        <v>1</v>
      </c>
      <c r="N54" s="29">
        <v>12</v>
      </c>
      <c r="O54" s="261" t="s">
        <v>367</v>
      </c>
      <c r="P54" s="24"/>
      <c r="Q54" s="31"/>
      <c r="R54" s="24" t="s">
        <v>18</v>
      </c>
      <c r="S54" s="56">
        <v>61000</v>
      </c>
    </row>
    <row r="55" spans="1:19" ht="17.25" customHeight="1">
      <c r="A55" s="10"/>
      <c r="B55" s="16"/>
      <c r="C55" s="24"/>
      <c r="D55" s="10"/>
      <c r="E55" s="62"/>
      <c r="F55" s="41"/>
      <c r="G55" s="38" t="s">
        <v>446</v>
      </c>
      <c r="H55" s="27">
        <v>300000</v>
      </c>
      <c r="I55" s="28" t="s">
        <v>4</v>
      </c>
      <c r="J55" s="258" t="s">
        <v>1</v>
      </c>
      <c r="K55" s="27">
        <v>1</v>
      </c>
      <c r="L55" s="43" t="s">
        <v>0</v>
      </c>
      <c r="M55" s="28" t="s">
        <v>1</v>
      </c>
      <c r="N55" s="29">
        <v>1</v>
      </c>
      <c r="O55" s="261" t="s">
        <v>2</v>
      </c>
      <c r="P55" s="24"/>
      <c r="Q55" s="31"/>
      <c r="R55" s="24" t="s">
        <v>18</v>
      </c>
      <c r="S55" s="56">
        <v>300000</v>
      </c>
    </row>
    <row r="56" spans="1:19" ht="17.25" customHeight="1">
      <c r="A56" s="10"/>
      <c r="B56" s="21"/>
      <c r="C56" s="22"/>
      <c r="D56" s="33"/>
      <c r="E56" s="64"/>
      <c r="F56" s="39"/>
      <c r="G56" s="385" t="s">
        <v>17</v>
      </c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83">
        <f>SUM(S46:S55)</f>
        <v>16328000</v>
      </c>
    </row>
    <row r="57" spans="1:19" ht="17.25" customHeight="1">
      <c r="A57" s="10"/>
      <c r="B57" s="343" t="s">
        <v>212</v>
      </c>
      <c r="C57" s="378"/>
      <c r="D57" s="129">
        <f>SUM(D58+D80)</f>
        <v>195170</v>
      </c>
      <c r="E57" s="129">
        <f>SUM(E58+E80)</f>
        <v>200490</v>
      </c>
      <c r="F57" s="318">
        <f>F58+F80</f>
        <v>-5320</v>
      </c>
      <c r="G57" s="130"/>
      <c r="H57" s="131"/>
      <c r="I57" s="132"/>
      <c r="J57" s="132"/>
      <c r="K57" s="131"/>
      <c r="L57" s="133"/>
      <c r="M57" s="132"/>
      <c r="N57" s="134"/>
      <c r="O57" s="133"/>
      <c r="P57" s="134"/>
      <c r="Q57" s="133"/>
      <c r="R57" s="135"/>
      <c r="S57" s="136"/>
    </row>
    <row r="58" spans="1:19" ht="17.25" customHeight="1">
      <c r="A58" s="10"/>
      <c r="B58" s="16"/>
      <c r="C58" s="81" t="s">
        <v>196</v>
      </c>
      <c r="D58" s="8">
        <v>195170</v>
      </c>
      <c r="E58" s="63">
        <v>200490</v>
      </c>
      <c r="F58" s="40">
        <f>+D58-E58</f>
        <v>-5320</v>
      </c>
      <c r="G58" s="37"/>
      <c r="H58" s="14"/>
      <c r="I58" s="14"/>
      <c r="J58" s="14"/>
      <c r="K58" s="14"/>
      <c r="L58" s="30"/>
      <c r="M58" s="14"/>
      <c r="N58" s="14"/>
      <c r="O58" s="30"/>
      <c r="P58" s="14"/>
      <c r="Q58" s="30"/>
      <c r="R58" s="14"/>
      <c r="S58" s="54"/>
    </row>
    <row r="59" spans="1:19" ht="17.25" customHeight="1">
      <c r="A59" s="10"/>
      <c r="B59" s="16"/>
      <c r="C59" s="36"/>
      <c r="D59" s="10"/>
      <c r="E59" s="16"/>
      <c r="F59" s="41"/>
      <c r="G59" s="38" t="s">
        <v>197</v>
      </c>
      <c r="H59" s="27">
        <v>2118630</v>
      </c>
      <c r="I59" s="28" t="s">
        <v>4</v>
      </c>
      <c r="J59" s="28" t="s">
        <v>1</v>
      </c>
      <c r="K59" s="27">
        <v>6</v>
      </c>
      <c r="L59" s="43" t="s">
        <v>0</v>
      </c>
      <c r="M59" s="28" t="s">
        <v>1</v>
      </c>
      <c r="N59" s="29">
        <v>12</v>
      </c>
      <c r="O59" s="43" t="s">
        <v>2</v>
      </c>
      <c r="P59" s="24"/>
      <c r="Q59" s="24"/>
      <c r="R59" s="24" t="s">
        <v>20</v>
      </c>
      <c r="S59" s="56">
        <v>152541430</v>
      </c>
    </row>
    <row r="60" spans="1:19" ht="17.25" customHeight="1">
      <c r="A60" s="10"/>
      <c r="B60" s="16"/>
      <c r="C60" s="36"/>
      <c r="D60" s="10"/>
      <c r="E60" s="16"/>
      <c r="F60" s="41"/>
      <c r="G60" s="38" t="s">
        <v>198</v>
      </c>
      <c r="H60" s="27">
        <v>37220</v>
      </c>
      <c r="I60" s="28" t="s">
        <v>4</v>
      </c>
      <c r="J60" s="28" t="s">
        <v>1</v>
      </c>
      <c r="K60" s="27">
        <v>6</v>
      </c>
      <c r="L60" s="43" t="s">
        <v>0</v>
      </c>
      <c r="M60" s="28" t="s">
        <v>1</v>
      </c>
      <c r="N60" s="29">
        <v>12</v>
      </c>
      <c r="O60" s="43" t="s">
        <v>2</v>
      </c>
      <c r="P60" s="24"/>
      <c r="Q60" s="24"/>
      <c r="R60" s="24" t="s">
        <v>20</v>
      </c>
      <c r="S60" s="56">
        <v>2680000</v>
      </c>
    </row>
    <row r="61" spans="1:19" ht="17.25" customHeight="1">
      <c r="A61" s="10"/>
      <c r="B61" s="16"/>
      <c r="C61" s="36"/>
      <c r="D61" s="10"/>
      <c r="E61" s="16"/>
      <c r="F61" s="41"/>
      <c r="G61" s="38" t="s">
        <v>199</v>
      </c>
      <c r="H61" s="27">
        <v>116790</v>
      </c>
      <c r="I61" s="28" t="s">
        <v>4</v>
      </c>
      <c r="J61" s="28" t="s">
        <v>1</v>
      </c>
      <c r="K61" s="27">
        <v>6</v>
      </c>
      <c r="L61" s="43" t="s">
        <v>0</v>
      </c>
      <c r="M61" s="28" t="s">
        <v>1</v>
      </c>
      <c r="N61" s="29">
        <v>12</v>
      </c>
      <c r="O61" s="43" t="s">
        <v>2</v>
      </c>
      <c r="P61" s="24"/>
      <c r="Q61" s="24"/>
      <c r="R61" s="24" t="s">
        <v>20</v>
      </c>
      <c r="S61" s="56">
        <v>8409050</v>
      </c>
    </row>
    <row r="62" spans="1:19" ht="17.25" customHeight="1">
      <c r="A62" s="10"/>
      <c r="B62" s="16"/>
      <c r="C62" s="36"/>
      <c r="D62" s="10"/>
      <c r="E62" s="16"/>
      <c r="F62" s="41"/>
      <c r="G62" s="38" t="s">
        <v>200</v>
      </c>
      <c r="H62" s="27">
        <v>209710</v>
      </c>
      <c r="I62" s="28" t="s">
        <v>21</v>
      </c>
      <c r="J62" s="28" t="s">
        <v>1</v>
      </c>
      <c r="K62" s="27">
        <v>6</v>
      </c>
      <c r="L62" s="43" t="s">
        <v>0</v>
      </c>
      <c r="M62" s="28" t="s">
        <v>1</v>
      </c>
      <c r="N62" s="29">
        <v>12</v>
      </c>
      <c r="O62" s="43" t="s">
        <v>2</v>
      </c>
      <c r="P62" s="29"/>
      <c r="Q62" s="43"/>
      <c r="R62" s="24" t="s">
        <v>18</v>
      </c>
      <c r="S62" s="56">
        <v>15099380</v>
      </c>
    </row>
    <row r="63" spans="1:19" ht="17.25" customHeight="1">
      <c r="A63" s="10"/>
      <c r="B63" s="16"/>
      <c r="C63" s="36"/>
      <c r="D63" s="10"/>
      <c r="E63" s="16"/>
      <c r="F63" s="41"/>
      <c r="G63" s="38" t="s">
        <v>294</v>
      </c>
      <c r="H63" s="27">
        <v>2168800</v>
      </c>
      <c r="I63" s="28" t="s">
        <v>21</v>
      </c>
      <c r="J63" s="28" t="s">
        <v>1</v>
      </c>
      <c r="K63" s="27">
        <v>6</v>
      </c>
      <c r="L63" s="43" t="s">
        <v>0</v>
      </c>
      <c r="M63" s="28" t="s">
        <v>1</v>
      </c>
      <c r="N63" s="29">
        <v>1</v>
      </c>
      <c r="O63" s="43" t="s">
        <v>2</v>
      </c>
      <c r="P63" s="29"/>
      <c r="Q63" s="43"/>
      <c r="R63" s="24" t="s">
        <v>18</v>
      </c>
      <c r="S63" s="56">
        <v>13012780</v>
      </c>
    </row>
    <row r="64" spans="1:19" ht="17.25" customHeight="1">
      <c r="A64" s="10"/>
      <c r="B64" s="16"/>
      <c r="C64" s="36"/>
      <c r="D64" s="10"/>
      <c r="E64" s="16"/>
      <c r="F64" s="41"/>
      <c r="G64" s="38" t="s">
        <v>347</v>
      </c>
      <c r="H64" s="27">
        <v>47600</v>
      </c>
      <c r="I64" s="28" t="s">
        <v>21</v>
      </c>
      <c r="J64" s="28" t="s">
        <v>1</v>
      </c>
      <c r="K64" s="27">
        <v>6</v>
      </c>
      <c r="L64" s="43" t="s">
        <v>0</v>
      </c>
      <c r="M64" s="28" t="s">
        <v>1</v>
      </c>
      <c r="N64" s="29">
        <v>12</v>
      </c>
      <c r="O64" s="43" t="s">
        <v>2</v>
      </c>
      <c r="P64" s="29"/>
      <c r="Q64" s="43"/>
      <c r="R64" s="24" t="s">
        <v>20</v>
      </c>
      <c r="S64" s="56">
        <f>3420000+7360</f>
        <v>3427360</v>
      </c>
    </row>
    <row r="65" spans="1:19" ht="17.25" customHeight="1">
      <c r="A65" s="10"/>
      <c r="B65" s="21"/>
      <c r="C65" s="22"/>
      <c r="D65" s="33"/>
      <c r="E65" s="64"/>
      <c r="F65" s="39"/>
      <c r="G65" s="385" t="s">
        <v>17</v>
      </c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83">
        <f>SUM(S59:S64)</f>
        <v>195170000</v>
      </c>
    </row>
    <row r="66" spans="1:19" ht="19.5" customHeight="1">
      <c r="A66" s="10"/>
      <c r="B66" s="343" t="s">
        <v>213</v>
      </c>
      <c r="C66" s="378"/>
      <c r="D66" s="259">
        <f>D67+D71+D77+D81+D84+D87</f>
        <v>88880</v>
      </c>
      <c r="E66" s="113">
        <f>E67+E71+E77+E81+E84+E87</f>
        <v>89414</v>
      </c>
      <c r="F66" s="260">
        <f>F67+F71+F77+F81+F84+F87</f>
        <v>-534</v>
      </c>
      <c r="G66" s="130"/>
      <c r="H66" s="131"/>
      <c r="I66" s="132"/>
      <c r="J66" s="132"/>
      <c r="K66" s="131"/>
      <c r="L66" s="133"/>
      <c r="M66" s="132"/>
      <c r="N66" s="134"/>
      <c r="O66" s="133"/>
      <c r="P66" s="134"/>
      <c r="Q66" s="133"/>
      <c r="R66" s="135"/>
      <c r="S66" s="136"/>
    </row>
    <row r="67" spans="1:19" ht="19.5" customHeight="1">
      <c r="A67" s="10"/>
      <c r="B67" s="117"/>
      <c r="C67" s="31" t="s">
        <v>135</v>
      </c>
      <c r="D67" s="8">
        <v>16542</v>
      </c>
      <c r="E67" s="11">
        <v>19764</v>
      </c>
      <c r="F67" s="40">
        <f>D67-E67</f>
        <v>-3222</v>
      </c>
      <c r="G67" s="120"/>
      <c r="H67" s="76"/>
      <c r="I67" s="77"/>
      <c r="J67" s="77"/>
      <c r="K67" s="76"/>
      <c r="L67" s="78"/>
      <c r="M67" s="77"/>
      <c r="N67" s="79"/>
      <c r="O67" s="78"/>
      <c r="P67" s="79"/>
      <c r="Q67" s="78"/>
      <c r="R67" s="14"/>
      <c r="S67" s="80"/>
    </row>
    <row r="68" spans="1:19" ht="19.5" customHeight="1">
      <c r="A68" s="10"/>
      <c r="B68" s="118"/>
      <c r="C68" s="31"/>
      <c r="D68" s="10"/>
      <c r="E68" s="16"/>
      <c r="F68" s="41"/>
      <c r="G68" s="38" t="s">
        <v>136</v>
      </c>
      <c r="H68" s="27">
        <v>907770</v>
      </c>
      <c r="I68" s="28" t="s">
        <v>4</v>
      </c>
      <c r="J68" s="28" t="s">
        <v>1</v>
      </c>
      <c r="K68" s="27">
        <v>12</v>
      </c>
      <c r="L68" s="43" t="s">
        <v>137</v>
      </c>
      <c r="M68" s="28"/>
      <c r="N68" s="29"/>
      <c r="O68" s="43"/>
      <c r="P68" s="29"/>
      <c r="Q68" s="43"/>
      <c r="R68" s="45" t="s">
        <v>69</v>
      </c>
      <c r="S68" s="56">
        <v>10893260</v>
      </c>
    </row>
    <row r="69" spans="1:19" ht="19.5" customHeight="1">
      <c r="A69" s="10"/>
      <c r="B69" s="118"/>
      <c r="C69" s="31"/>
      <c r="D69" s="10"/>
      <c r="E69" s="16"/>
      <c r="F69" s="41"/>
      <c r="G69" s="38" t="s">
        <v>138</v>
      </c>
      <c r="H69" s="27">
        <v>470730</v>
      </c>
      <c r="I69" s="28" t="s">
        <v>21</v>
      </c>
      <c r="J69" s="28" t="s">
        <v>1</v>
      </c>
      <c r="K69" s="27">
        <v>12</v>
      </c>
      <c r="L69" s="43" t="s">
        <v>137</v>
      </c>
      <c r="M69" s="28"/>
      <c r="N69" s="29"/>
      <c r="O69" s="43"/>
      <c r="P69" s="29"/>
      <c r="Q69" s="43"/>
      <c r="R69" s="45" t="s">
        <v>69</v>
      </c>
      <c r="S69" s="56">
        <f>5638340+10400</f>
        <v>5648740</v>
      </c>
    </row>
    <row r="70" spans="1:19" ht="19.5" customHeight="1">
      <c r="A70" s="10"/>
      <c r="B70" s="118"/>
      <c r="C70" s="121"/>
      <c r="D70" s="33"/>
      <c r="E70" s="21"/>
      <c r="F70" s="39"/>
      <c r="G70" s="388" t="s">
        <v>70</v>
      </c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123">
        <f>SUM(S68:S69)</f>
        <v>16542000</v>
      </c>
    </row>
    <row r="71" spans="1:19" ht="18" customHeight="1">
      <c r="A71" s="10"/>
      <c r="B71" s="16"/>
      <c r="C71" s="119" t="s">
        <v>139</v>
      </c>
      <c r="D71" s="8">
        <v>7393</v>
      </c>
      <c r="E71" s="63">
        <v>8208</v>
      </c>
      <c r="F71" s="40">
        <f>+D71-E71</f>
        <v>-815</v>
      </c>
      <c r="G71" s="37"/>
      <c r="H71" s="14"/>
      <c r="I71" s="14"/>
      <c r="J71" s="14"/>
      <c r="K71" s="14"/>
      <c r="L71" s="30"/>
      <c r="M71" s="14"/>
      <c r="N71" s="14"/>
      <c r="O71" s="30"/>
      <c r="P71" s="14"/>
      <c r="Q71" s="30"/>
      <c r="R71" s="14"/>
      <c r="S71" s="54"/>
    </row>
    <row r="72" spans="1:19" ht="19.5" customHeight="1">
      <c r="A72" s="10"/>
      <c r="B72" s="118"/>
      <c r="C72" s="31"/>
      <c r="D72" s="10"/>
      <c r="E72" s="16"/>
      <c r="F72" s="41"/>
      <c r="G72" s="38" t="s">
        <v>141</v>
      </c>
      <c r="H72" s="27">
        <v>390505</v>
      </c>
      <c r="I72" s="28" t="s">
        <v>4</v>
      </c>
      <c r="J72" s="28" t="s">
        <v>1</v>
      </c>
      <c r="K72" s="27">
        <v>12</v>
      </c>
      <c r="L72" s="43" t="s">
        <v>137</v>
      </c>
      <c r="M72" s="28"/>
      <c r="N72" s="29"/>
      <c r="O72" s="43"/>
      <c r="P72" s="29"/>
      <c r="Q72" s="43"/>
      <c r="R72" s="45" t="s">
        <v>69</v>
      </c>
      <c r="S72" s="56">
        <v>4686060</v>
      </c>
    </row>
    <row r="73" spans="1:19" ht="19.5" customHeight="1">
      <c r="A73" s="10"/>
      <c r="B73" s="118"/>
      <c r="C73" s="31"/>
      <c r="D73" s="10"/>
      <c r="E73" s="16"/>
      <c r="F73" s="41"/>
      <c r="G73" s="38" t="s">
        <v>201</v>
      </c>
      <c r="H73" s="27">
        <v>26010</v>
      </c>
      <c r="I73" s="28" t="s">
        <v>4</v>
      </c>
      <c r="J73" s="28" t="s">
        <v>1</v>
      </c>
      <c r="K73" s="27">
        <v>12</v>
      </c>
      <c r="L73" s="43" t="s">
        <v>137</v>
      </c>
      <c r="M73" s="28"/>
      <c r="N73" s="29"/>
      <c r="O73" s="43"/>
      <c r="P73" s="29"/>
      <c r="Q73" s="43"/>
      <c r="R73" s="45" t="s">
        <v>69</v>
      </c>
      <c r="S73" s="56">
        <v>312160</v>
      </c>
    </row>
    <row r="74" spans="1:19" ht="19.5" customHeight="1">
      <c r="A74" s="10"/>
      <c r="B74" s="118"/>
      <c r="C74" s="31"/>
      <c r="D74" s="10"/>
      <c r="E74" s="16"/>
      <c r="F74" s="41"/>
      <c r="G74" s="38" t="s">
        <v>142</v>
      </c>
      <c r="H74" s="27">
        <v>185510</v>
      </c>
      <c r="I74" s="28" t="s">
        <v>4</v>
      </c>
      <c r="J74" s="28" t="s">
        <v>1</v>
      </c>
      <c r="K74" s="27">
        <v>12</v>
      </c>
      <c r="L74" s="43" t="s">
        <v>137</v>
      </c>
      <c r="M74" s="28"/>
      <c r="N74" s="29"/>
      <c r="O74" s="43"/>
      <c r="P74" s="29"/>
      <c r="Q74" s="43"/>
      <c r="R74" s="45" t="s">
        <v>69</v>
      </c>
      <c r="S74" s="56">
        <v>2226080</v>
      </c>
    </row>
    <row r="75" spans="1:19" ht="19.5" customHeight="1">
      <c r="A75" s="10"/>
      <c r="B75" s="118"/>
      <c r="C75" s="31"/>
      <c r="D75" s="10"/>
      <c r="E75" s="16"/>
      <c r="F75" s="41"/>
      <c r="G75" s="38" t="s">
        <v>202</v>
      </c>
      <c r="H75" s="27">
        <v>14060</v>
      </c>
      <c r="I75" s="28" t="s">
        <v>21</v>
      </c>
      <c r="J75" s="28" t="s">
        <v>1</v>
      </c>
      <c r="K75" s="27">
        <v>12</v>
      </c>
      <c r="L75" s="43" t="s">
        <v>137</v>
      </c>
      <c r="M75" s="28"/>
      <c r="N75" s="29"/>
      <c r="O75" s="43"/>
      <c r="P75" s="29"/>
      <c r="Q75" s="43"/>
      <c r="R75" s="45" t="s">
        <v>69</v>
      </c>
      <c r="S75" s="56">
        <f>148870+19830</f>
        <v>168700</v>
      </c>
    </row>
    <row r="76" spans="1:19" ht="18" customHeight="1">
      <c r="A76" s="10"/>
      <c r="B76" s="16"/>
      <c r="C76" s="22"/>
      <c r="D76" s="33"/>
      <c r="E76" s="21"/>
      <c r="F76" s="39"/>
      <c r="G76" s="385" t="s">
        <v>17</v>
      </c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83">
        <f>S72+S73+S74+S75</f>
        <v>7393000</v>
      </c>
    </row>
    <row r="77" spans="1:19" ht="18" customHeight="1">
      <c r="A77" s="10"/>
      <c r="B77" s="16"/>
      <c r="C77" s="81" t="s">
        <v>140</v>
      </c>
      <c r="D77" s="8">
        <v>1108</v>
      </c>
      <c r="E77" s="11">
        <v>1340</v>
      </c>
      <c r="F77" s="40">
        <f>+D77-E77</f>
        <v>-232</v>
      </c>
      <c r="G77" s="37"/>
      <c r="H77" s="14"/>
      <c r="I77" s="14"/>
      <c r="J77" s="14"/>
      <c r="K77" s="14"/>
      <c r="L77" s="30"/>
      <c r="M77" s="14"/>
      <c r="N77" s="14"/>
      <c r="O77" s="30"/>
      <c r="P77" s="14"/>
      <c r="Q77" s="30"/>
      <c r="R77" s="14"/>
      <c r="S77" s="54"/>
    </row>
    <row r="78" spans="1:19" ht="19.5" customHeight="1">
      <c r="A78" s="10"/>
      <c r="B78" s="118"/>
      <c r="C78" s="31"/>
      <c r="D78" s="10"/>
      <c r="E78" s="16"/>
      <c r="F78" s="41"/>
      <c r="G78" s="38" t="s">
        <v>143</v>
      </c>
      <c r="H78" s="27">
        <v>70070</v>
      </c>
      <c r="I78" s="28" t="s">
        <v>4</v>
      </c>
      <c r="J78" s="28" t="s">
        <v>1</v>
      </c>
      <c r="K78" s="27">
        <v>12</v>
      </c>
      <c r="L78" s="43" t="s">
        <v>137</v>
      </c>
      <c r="M78" s="28"/>
      <c r="N78" s="29"/>
      <c r="O78" s="43"/>
      <c r="P78" s="29"/>
      <c r="Q78" s="43"/>
      <c r="R78" s="45" t="s">
        <v>69</v>
      </c>
      <c r="S78" s="56">
        <v>840840</v>
      </c>
    </row>
    <row r="79" spans="1:19" ht="19.5" customHeight="1">
      <c r="A79" s="10"/>
      <c r="B79" s="118"/>
      <c r="C79" s="31"/>
      <c r="D79" s="10"/>
      <c r="E79" s="16"/>
      <c r="F79" s="41"/>
      <c r="G79" s="38" t="s">
        <v>144</v>
      </c>
      <c r="H79" s="27">
        <v>22260</v>
      </c>
      <c r="I79" s="28" t="s">
        <v>21</v>
      </c>
      <c r="J79" s="28" t="s">
        <v>1</v>
      </c>
      <c r="K79" s="27">
        <v>12</v>
      </c>
      <c r="L79" s="43" t="s">
        <v>137</v>
      </c>
      <c r="M79" s="28"/>
      <c r="N79" s="29"/>
      <c r="O79" s="43"/>
      <c r="P79" s="29"/>
      <c r="Q79" s="43"/>
      <c r="R79" s="45" t="s">
        <v>69</v>
      </c>
      <c r="S79" s="56">
        <f>255920+11240</f>
        <v>267160</v>
      </c>
    </row>
    <row r="80" spans="1:20" ht="18" customHeight="1">
      <c r="A80" s="10"/>
      <c r="B80" s="16"/>
      <c r="C80" s="22"/>
      <c r="D80" s="33"/>
      <c r="E80" s="21"/>
      <c r="F80" s="39"/>
      <c r="G80" s="385" t="s">
        <v>17</v>
      </c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83">
        <f>SUM(S78:S79)</f>
        <v>1108000</v>
      </c>
      <c r="T80" s="270"/>
    </row>
    <row r="81" spans="1:19" ht="18" customHeight="1">
      <c r="A81" s="10"/>
      <c r="B81" s="16"/>
      <c r="C81" s="81" t="s">
        <v>203</v>
      </c>
      <c r="D81" s="8">
        <v>27955</v>
      </c>
      <c r="E81" s="11">
        <v>24228</v>
      </c>
      <c r="F81" s="40">
        <f>+D81-E81</f>
        <v>3727</v>
      </c>
      <c r="G81" s="205" t="s">
        <v>204</v>
      </c>
      <c r="H81" s="14"/>
      <c r="I81" s="14"/>
      <c r="J81" s="14"/>
      <c r="K81" s="14"/>
      <c r="L81" s="30"/>
      <c r="M81" s="14"/>
      <c r="N81" s="14"/>
      <c r="O81" s="30"/>
      <c r="P81" s="14"/>
      <c r="Q81" s="30"/>
      <c r="R81" s="45" t="s">
        <v>69</v>
      </c>
      <c r="S81" s="54">
        <v>27955000</v>
      </c>
    </row>
    <row r="82" spans="1:19" ht="12.75" customHeight="1">
      <c r="A82" s="10"/>
      <c r="B82" s="16"/>
      <c r="C82" s="24"/>
      <c r="D82" s="10"/>
      <c r="E82" s="16"/>
      <c r="F82" s="41"/>
      <c r="G82" s="38"/>
      <c r="H82" s="24"/>
      <c r="I82" s="24"/>
      <c r="J82" s="24"/>
      <c r="K82" s="24"/>
      <c r="L82" s="31"/>
      <c r="M82" s="24"/>
      <c r="N82" s="24"/>
      <c r="O82" s="31"/>
      <c r="P82" s="24"/>
      <c r="Q82" s="31"/>
      <c r="R82" s="24"/>
      <c r="S82" s="55"/>
    </row>
    <row r="83" spans="1:19" ht="12.75" customHeight="1">
      <c r="A83" s="10"/>
      <c r="B83" s="16"/>
      <c r="C83" s="22"/>
      <c r="D83" s="33"/>
      <c r="E83" s="21"/>
      <c r="F83" s="39"/>
      <c r="G83" s="385" t="s">
        <v>17</v>
      </c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83">
        <f>SUM(S81:S82)</f>
        <v>27955000</v>
      </c>
    </row>
    <row r="84" spans="1:19" ht="18" customHeight="1">
      <c r="A84" s="10"/>
      <c r="B84" s="16"/>
      <c r="C84" s="81" t="s">
        <v>296</v>
      </c>
      <c r="D84" s="8">
        <v>6776</v>
      </c>
      <c r="E84" s="11">
        <v>6150</v>
      </c>
      <c r="F84" s="40">
        <f>+D84-E84</f>
        <v>626</v>
      </c>
      <c r="G84" s="205" t="s">
        <v>297</v>
      </c>
      <c r="H84" s="14"/>
      <c r="I84" s="14"/>
      <c r="J84" s="14"/>
      <c r="K84" s="14"/>
      <c r="L84" s="30"/>
      <c r="M84" s="14"/>
      <c r="N84" s="14"/>
      <c r="O84" s="30"/>
      <c r="P84" s="14"/>
      <c r="Q84" s="30"/>
      <c r="R84" s="45" t="s">
        <v>18</v>
      </c>
      <c r="S84" s="54">
        <v>6776000</v>
      </c>
    </row>
    <row r="85" spans="1:19" ht="12.75" customHeight="1">
      <c r="A85" s="10"/>
      <c r="B85" s="16"/>
      <c r="C85" s="24"/>
      <c r="D85" s="10"/>
      <c r="E85" s="16"/>
      <c r="F85" s="41"/>
      <c r="G85" s="38"/>
      <c r="H85" s="24"/>
      <c r="I85" s="24"/>
      <c r="J85" s="24"/>
      <c r="K85" s="24"/>
      <c r="L85" s="31"/>
      <c r="M85" s="24"/>
      <c r="N85" s="24"/>
      <c r="O85" s="31"/>
      <c r="P85" s="24"/>
      <c r="Q85" s="31"/>
      <c r="R85" s="24"/>
      <c r="S85" s="55"/>
    </row>
    <row r="86" spans="1:19" ht="12.75" customHeight="1">
      <c r="A86" s="10"/>
      <c r="B86" s="16"/>
      <c r="C86" s="22"/>
      <c r="D86" s="33"/>
      <c r="E86" s="21"/>
      <c r="F86" s="39"/>
      <c r="G86" s="385" t="s">
        <v>17</v>
      </c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83">
        <f>SUM(S84:S85)</f>
        <v>6776000</v>
      </c>
    </row>
    <row r="87" spans="1:19" ht="18" customHeight="1">
      <c r="A87" s="10"/>
      <c r="B87" s="16"/>
      <c r="C87" s="119" t="s">
        <v>295</v>
      </c>
      <c r="D87" s="8">
        <v>29106</v>
      </c>
      <c r="E87" s="82">
        <v>29724</v>
      </c>
      <c r="F87" s="40">
        <f>+D87-E87</f>
        <v>-618</v>
      </c>
      <c r="G87" s="37"/>
      <c r="H87" s="14"/>
      <c r="I87" s="14"/>
      <c r="J87" s="14"/>
      <c r="K87" s="14"/>
      <c r="L87" s="30"/>
      <c r="M87" s="14"/>
      <c r="N87" s="14"/>
      <c r="O87" s="30"/>
      <c r="P87" s="14"/>
      <c r="Q87" s="30"/>
      <c r="R87" s="14"/>
      <c r="S87" s="54"/>
    </row>
    <row r="88" spans="1:19" ht="19.5" customHeight="1">
      <c r="A88" s="10"/>
      <c r="B88" s="16"/>
      <c r="C88" s="31"/>
      <c r="D88" s="10"/>
      <c r="E88" s="16"/>
      <c r="F88" s="41"/>
      <c r="G88" s="38" t="s">
        <v>298</v>
      </c>
      <c r="H88" s="27">
        <v>986580</v>
      </c>
      <c r="I88" s="28" t="s">
        <v>4</v>
      </c>
      <c r="J88" s="28" t="s">
        <v>1</v>
      </c>
      <c r="K88" s="27">
        <v>12</v>
      </c>
      <c r="L88" s="43" t="s">
        <v>137</v>
      </c>
      <c r="M88" s="28"/>
      <c r="N88" s="29"/>
      <c r="O88" s="43"/>
      <c r="P88" s="29"/>
      <c r="Q88" s="43"/>
      <c r="R88" s="45" t="s">
        <v>69</v>
      </c>
      <c r="S88" s="56">
        <v>11838950</v>
      </c>
    </row>
    <row r="89" spans="1:19" ht="19.5" customHeight="1">
      <c r="A89" s="10"/>
      <c r="B89" s="16"/>
      <c r="C89" s="31"/>
      <c r="D89" s="10"/>
      <c r="E89" s="16"/>
      <c r="F89" s="41"/>
      <c r="G89" s="38" t="s">
        <v>299</v>
      </c>
      <c r="H89" s="27">
        <v>176060</v>
      </c>
      <c r="I89" s="28" t="s">
        <v>4</v>
      </c>
      <c r="J89" s="28" t="s">
        <v>1</v>
      </c>
      <c r="K89" s="27">
        <v>12</v>
      </c>
      <c r="L89" s="43" t="s">
        <v>25</v>
      </c>
      <c r="M89" s="28"/>
      <c r="N89" s="29"/>
      <c r="O89" s="43"/>
      <c r="P89" s="29"/>
      <c r="Q89" s="43"/>
      <c r="R89" s="45" t="s">
        <v>18</v>
      </c>
      <c r="S89" s="56">
        <v>2112770</v>
      </c>
    </row>
    <row r="90" spans="1:19" ht="19.5" customHeight="1">
      <c r="A90" s="10"/>
      <c r="B90" s="118"/>
      <c r="C90" s="31"/>
      <c r="D90" s="10"/>
      <c r="E90" s="16"/>
      <c r="F90" s="41"/>
      <c r="G90" s="38" t="s">
        <v>300</v>
      </c>
      <c r="H90" s="27">
        <v>449040</v>
      </c>
      <c r="I90" s="28" t="s">
        <v>4</v>
      </c>
      <c r="J90" s="28" t="s">
        <v>1</v>
      </c>
      <c r="K90" s="27">
        <v>12</v>
      </c>
      <c r="L90" s="43" t="s">
        <v>137</v>
      </c>
      <c r="M90" s="28"/>
      <c r="N90" s="29"/>
      <c r="O90" s="43"/>
      <c r="P90" s="29"/>
      <c r="Q90" s="43"/>
      <c r="R90" s="45" t="s">
        <v>69</v>
      </c>
      <c r="S90" s="56">
        <v>5388460</v>
      </c>
    </row>
    <row r="91" spans="1:19" ht="19.5" customHeight="1">
      <c r="A91" s="10"/>
      <c r="B91" s="118"/>
      <c r="C91" s="31"/>
      <c r="D91" s="10"/>
      <c r="E91" s="16"/>
      <c r="F91" s="41"/>
      <c r="G91" s="38" t="s">
        <v>301</v>
      </c>
      <c r="H91" s="27">
        <v>29810</v>
      </c>
      <c r="I91" s="28" t="s">
        <v>4</v>
      </c>
      <c r="J91" s="28" t="s">
        <v>1</v>
      </c>
      <c r="K91" s="27">
        <v>12</v>
      </c>
      <c r="L91" s="43" t="s">
        <v>137</v>
      </c>
      <c r="M91" s="28"/>
      <c r="N91" s="29"/>
      <c r="O91" s="43"/>
      <c r="P91" s="29"/>
      <c r="Q91" s="43"/>
      <c r="R91" s="45" t="s">
        <v>69</v>
      </c>
      <c r="S91" s="56">
        <v>357730</v>
      </c>
    </row>
    <row r="92" spans="1:19" ht="19.5" customHeight="1">
      <c r="A92" s="10"/>
      <c r="B92" s="118"/>
      <c r="C92" s="31"/>
      <c r="D92" s="10"/>
      <c r="E92" s="16"/>
      <c r="F92" s="41"/>
      <c r="G92" s="38" t="s">
        <v>302</v>
      </c>
      <c r="H92" s="27">
        <v>180930</v>
      </c>
      <c r="I92" s="28" t="s">
        <v>4</v>
      </c>
      <c r="J92" s="28" t="s">
        <v>1</v>
      </c>
      <c r="K92" s="27">
        <v>12</v>
      </c>
      <c r="L92" s="43" t="s">
        <v>25</v>
      </c>
      <c r="M92" s="28"/>
      <c r="N92" s="29"/>
      <c r="O92" s="43"/>
      <c r="P92" s="29"/>
      <c r="Q92" s="43"/>
      <c r="R92" s="45" t="s">
        <v>18</v>
      </c>
      <c r="S92" s="56">
        <v>2171150</v>
      </c>
    </row>
    <row r="93" spans="1:19" ht="19.5" customHeight="1">
      <c r="A93" s="10"/>
      <c r="B93" s="118"/>
      <c r="C93" s="31"/>
      <c r="D93" s="10"/>
      <c r="E93" s="16"/>
      <c r="F93" s="41"/>
      <c r="G93" s="38" t="s">
        <v>303</v>
      </c>
      <c r="H93" s="27">
        <v>12100</v>
      </c>
      <c r="I93" s="28" t="s">
        <v>4</v>
      </c>
      <c r="J93" s="28" t="s">
        <v>1</v>
      </c>
      <c r="K93" s="27">
        <v>12</v>
      </c>
      <c r="L93" s="43" t="s">
        <v>25</v>
      </c>
      <c r="M93" s="28"/>
      <c r="N93" s="29"/>
      <c r="O93" s="43"/>
      <c r="P93" s="29"/>
      <c r="Q93" s="43"/>
      <c r="R93" s="45" t="s">
        <v>18</v>
      </c>
      <c r="S93" s="56">
        <v>145220</v>
      </c>
    </row>
    <row r="94" spans="1:19" ht="19.5" customHeight="1">
      <c r="A94" s="10"/>
      <c r="B94" s="118"/>
      <c r="C94" s="31"/>
      <c r="D94" s="10"/>
      <c r="E94" s="16"/>
      <c r="F94" s="41"/>
      <c r="G94" s="38" t="s">
        <v>304</v>
      </c>
      <c r="H94" s="27">
        <v>317200</v>
      </c>
      <c r="I94" s="28" t="s">
        <v>4</v>
      </c>
      <c r="J94" s="28" t="s">
        <v>1</v>
      </c>
      <c r="K94" s="27">
        <v>12</v>
      </c>
      <c r="L94" s="43" t="s">
        <v>137</v>
      </c>
      <c r="M94" s="28"/>
      <c r="N94" s="29"/>
      <c r="O94" s="43"/>
      <c r="P94" s="29"/>
      <c r="Q94" s="43"/>
      <c r="R94" s="45" t="s">
        <v>69</v>
      </c>
      <c r="S94" s="56">
        <v>3806370</v>
      </c>
    </row>
    <row r="95" spans="1:19" ht="19.5" customHeight="1">
      <c r="A95" s="10"/>
      <c r="B95" s="118"/>
      <c r="C95" s="31"/>
      <c r="D95" s="10"/>
      <c r="E95" s="16"/>
      <c r="F95" s="41"/>
      <c r="G95" s="38" t="s">
        <v>305</v>
      </c>
      <c r="H95" s="27">
        <v>77650</v>
      </c>
      <c r="I95" s="28" t="s">
        <v>21</v>
      </c>
      <c r="J95" s="28" t="s">
        <v>1</v>
      </c>
      <c r="K95" s="27">
        <v>12</v>
      </c>
      <c r="L95" s="43" t="s">
        <v>137</v>
      </c>
      <c r="M95" s="28"/>
      <c r="N95" s="29"/>
      <c r="O95" s="43"/>
      <c r="P95" s="29"/>
      <c r="Q95" s="43"/>
      <c r="R95" s="45" t="s">
        <v>69</v>
      </c>
      <c r="S95" s="56">
        <v>931750</v>
      </c>
    </row>
    <row r="96" spans="1:19" ht="19.5" customHeight="1">
      <c r="A96" s="10"/>
      <c r="B96" s="118"/>
      <c r="C96" s="31"/>
      <c r="D96" s="10"/>
      <c r="E96" s="16"/>
      <c r="F96" s="41"/>
      <c r="G96" s="38" t="s">
        <v>306</v>
      </c>
      <c r="H96" s="27">
        <v>152380</v>
      </c>
      <c r="I96" s="28" t="s">
        <v>4</v>
      </c>
      <c r="J96" s="28" t="s">
        <v>1</v>
      </c>
      <c r="K96" s="27">
        <v>12</v>
      </c>
      <c r="L96" s="43" t="s">
        <v>25</v>
      </c>
      <c r="M96" s="28"/>
      <c r="N96" s="29"/>
      <c r="O96" s="43"/>
      <c r="P96" s="29"/>
      <c r="Q96" s="43"/>
      <c r="R96" s="45" t="s">
        <v>18</v>
      </c>
      <c r="S96" s="56">
        <v>1828510</v>
      </c>
    </row>
    <row r="97" spans="1:19" ht="19.5" customHeight="1">
      <c r="A97" s="10"/>
      <c r="B97" s="118"/>
      <c r="C97" s="31"/>
      <c r="D97" s="10"/>
      <c r="E97" s="16"/>
      <c r="F97" s="41"/>
      <c r="G97" s="38" t="s">
        <v>307</v>
      </c>
      <c r="H97" s="27">
        <v>43760</v>
      </c>
      <c r="I97" s="28" t="s">
        <v>21</v>
      </c>
      <c r="J97" s="28" t="s">
        <v>1</v>
      </c>
      <c r="K97" s="27">
        <v>12</v>
      </c>
      <c r="L97" s="43" t="s">
        <v>25</v>
      </c>
      <c r="M97" s="28"/>
      <c r="N97" s="29"/>
      <c r="O97" s="43"/>
      <c r="P97" s="29"/>
      <c r="Q97" s="43"/>
      <c r="R97" s="45" t="s">
        <v>18</v>
      </c>
      <c r="S97" s="56">
        <f>467940+57150</f>
        <v>525090</v>
      </c>
    </row>
    <row r="98" spans="1:19" ht="18" customHeight="1">
      <c r="A98" s="10"/>
      <c r="B98" s="16"/>
      <c r="C98" s="22"/>
      <c r="D98" s="33"/>
      <c r="E98" s="21"/>
      <c r="F98" s="39"/>
      <c r="G98" s="385" t="s">
        <v>17</v>
      </c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83">
        <f>SUM(S88:S97)</f>
        <v>29106000</v>
      </c>
    </row>
    <row r="99" spans="1:19" ht="18" customHeight="1">
      <c r="A99" s="140"/>
      <c r="B99" s="343" t="s">
        <v>214</v>
      </c>
      <c r="C99" s="378"/>
      <c r="D99" s="137">
        <f>SUM(D100+D106+D111+D115+D119+D124+D128+D136)</f>
        <v>160057</v>
      </c>
      <c r="E99" s="137">
        <f>SUM(E100+E106+E111+E115+E119+E124+E128+E136)</f>
        <v>163174</v>
      </c>
      <c r="F99" s="137">
        <f>SUM(F100+F106+F111+F115+F119+F124+F128+F136)</f>
        <v>-3117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2"/>
    </row>
    <row r="100" spans="1:19" ht="18" customHeight="1">
      <c r="A100" s="140"/>
      <c r="B100" s="117"/>
      <c r="C100" s="31" t="s">
        <v>150</v>
      </c>
      <c r="D100" s="10">
        <v>76800</v>
      </c>
      <c r="E100" s="62">
        <v>61548</v>
      </c>
      <c r="F100" s="41">
        <f>D100-E100</f>
        <v>15252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55"/>
    </row>
    <row r="101" spans="1:19" ht="18" customHeight="1">
      <c r="A101" s="10"/>
      <c r="B101" s="16"/>
      <c r="C101" s="36"/>
      <c r="D101" s="10"/>
      <c r="E101" s="16"/>
      <c r="F101" s="41"/>
      <c r="G101" s="38" t="s">
        <v>308</v>
      </c>
      <c r="H101" s="27"/>
      <c r="I101" s="28"/>
      <c r="J101" s="28"/>
      <c r="K101" s="27"/>
      <c r="L101" s="43"/>
      <c r="M101" s="28"/>
      <c r="N101" s="29"/>
      <c r="O101" s="43"/>
      <c r="P101" s="24"/>
      <c r="Q101" s="24"/>
      <c r="R101" s="24"/>
      <c r="S101" s="56"/>
    </row>
    <row r="102" spans="1:19" ht="18" customHeight="1">
      <c r="A102" s="10"/>
      <c r="B102" s="16"/>
      <c r="C102" s="36"/>
      <c r="D102" s="10"/>
      <c r="E102" s="16"/>
      <c r="F102" s="41"/>
      <c r="G102" s="38" t="s">
        <v>273</v>
      </c>
      <c r="H102" s="27">
        <v>1269700</v>
      </c>
      <c r="I102" s="28" t="s">
        <v>4</v>
      </c>
      <c r="J102" s="28" t="s">
        <v>1</v>
      </c>
      <c r="K102" s="27">
        <v>4</v>
      </c>
      <c r="L102" s="43" t="s">
        <v>0</v>
      </c>
      <c r="M102" s="28" t="s">
        <v>1</v>
      </c>
      <c r="N102" s="29">
        <v>12</v>
      </c>
      <c r="O102" s="43" t="s">
        <v>2</v>
      </c>
      <c r="P102" s="24"/>
      <c r="Q102" s="24"/>
      <c r="R102" s="24" t="s">
        <v>18</v>
      </c>
      <c r="S102" s="56">
        <v>60945920</v>
      </c>
    </row>
    <row r="103" spans="1:19" ht="18" customHeight="1">
      <c r="A103" s="10"/>
      <c r="B103" s="16"/>
      <c r="C103" s="36"/>
      <c r="D103" s="10"/>
      <c r="E103" s="16"/>
      <c r="F103" s="41"/>
      <c r="G103" s="38" t="s">
        <v>447</v>
      </c>
      <c r="H103" s="27"/>
      <c r="I103" s="28"/>
      <c r="J103" s="28"/>
      <c r="K103" s="27"/>
      <c r="L103" s="43"/>
      <c r="M103" s="28"/>
      <c r="N103" s="29"/>
      <c r="O103" s="43"/>
      <c r="P103" s="24"/>
      <c r="Q103" s="24"/>
      <c r="R103" s="24"/>
      <c r="S103" s="56"/>
    </row>
    <row r="104" spans="1:19" ht="18" customHeight="1">
      <c r="A104" s="10"/>
      <c r="B104" s="16"/>
      <c r="C104" s="36"/>
      <c r="D104" s="10"/>
      <c r="E104" s="16"/>
      <c r="F104" s="41"/>
      <c r="G104" s="38" t="s">
        <v>273</v>
      </c>
      <c r="H104" s="27">
        <v>1761560</v>
      </c>
      <c r="I104" s="28" t="s">
        <v>4</v>
      </c>
      <c r="J104" s="28" t="s">
        <v>1</v>
      </c>
      <c r="K104" s="27">
        <v>1</v>
      </c>
      <c r="L104" s="43" t="s">
        <v>0</v>
      </c>
      <c r="M104" s="28" t="s">
        <v>1</v>
      </c>
      <c r="N104" s="29">
        <v>9</v>
      </c>
      <c r="O104" s="43" t="s">
        <v>2</v>
      </c>
      <c r="P104" s="24"/>
      <c r="Q104" s="24"/>
      <c r="R104" s="24" t="s">
        <v>18</v>
      </c>
      <c r="S104" s="56">
        <f>15842080+12000</f>
        <v>15854080</v>
      </c>
    </row>
    <row r="105" spans="1:19" ht="15" customHeight="1">
      <c r="A105" s="10"/>
      <c r="B105" s="16"/>
      <c r="C105" s="22"/>
      <c r="D105" s="33"/>
      <c r="E105" s="21"/>
      <c r="F105" s="39"/>
      <c r="G105" s="385" t="s">
        <v>17</v>
      </c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83">
        <f>S102+S104</f>
        <v>76800000</v>
      </c>
    </row>
    <row r="106" spans="1:19" ht="18" customHeight="1">
      <c r="A106" s="140"/>
      <c r="B106" s="118"/>
      <c r="C106" s="163" t="s">
        <v>155</v>
      </c>
      <c r="D106" s="10">
        <f>5568+232</f>
        <v>5800</v>
      </c>
      <c r="E106" s="62">
        <v>7320</v>
      </c>
      <c r="F106" s="41">
        <f>D106-E106</f>
        <v>-1520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55"/>
    </row>
    <row r="107" spans="1:19" ht="18" customHeight="1">
      <c r="A107" s="140"/>
      <c r="B107" s="118"/>
      <c r="C107" s="31"/>
      <c r="D107" s="10"/>
      <c r="E107" s="62"/>
      <c r="F107" s="41"/>
      <c r="G107" s="38" t="s">
        <v>310</v>
      </c>
      <c r="H107" s="27">
        <v>120670</v>
      </c>
      <c r="I107" s="28" t="s">
        <v>4</v>
      </c>
      <c r="J107" s="28" t="s">
        <v>1</v>
      </c>
      <c r="K107" s="302">
        <v>3.5</v>
      </c>
      <c r="L107" s="43" t="s">
        <v>0</v>
      </c>
      <c r="M107" s="28" t="s">
        <v>1</v>
      </c>
      <c r="N107" s="29">
        <v>12</v>
      </c>
      <c r="O107" s="43" t="s">
        <v>2</v>
      </c>
      <c r="P107" s="24"/>
      <c r="Q107" s="24"/>
      <c r="R107" s="24" t="s">
        <v>20</v>
      </c>
      <c r="S107" s="56">
        <v>5068170</v>
      </c>
    </row>
    <row r="108" spans="1:19" ht="18" customHeight="1">
      <c r="A108" s="140"/>
      <c r="B108" s="118"/>
      <c r="C108" s="31"/>
      <c r="D108" s="10"/>
      <c r="E108" s="62"/>
      <c r="F108" s="41"/>
      <c r="G108" s="38" t="s">
        <v>309</v>
      </c>
      <c r="H108" s="27">
        <v>139950</v>
      </c>
      <c r="I108" s="28" t="s">
        <v>4</v>
      </c>
      <c r="J108" s="28" t="s">
        <v>1</v>
      </c>
      <c r="K108" s="302">
        <v>3.5</v>
      </c>
      <c r="L108" s="43" t="s">
        <v>0</v>
      </c>
      <c r="M108" s="28" t="s">
        <v>1</v>
      </c>
      <c r="N108" s="29">
        <v>1</v>
      </c>
      <c r="O108" s="43" t="s">
        <v>2</v>
      </c>
      <c r="P108" s="24"/>
      <c r="Q108" s="24"/>
      <c r="R108" s="24" t="s">
        <v>18</v>
      </c>
      <c r="S108" s="56">
        <v>489820</v>
      </c>
    </row>
    <row r="109" spans="1:19" ht="18" customHeight="1">
      <c r="A109" s="140"/>
      <c r="B109" s="118"/>
      <c r="C109" s="31"/>
      <c r="D109" s="10"/>
      <c r="E109" s="62"/>
      <c r="F109" s="41"/>
      <c r="G109" s="38" t="s">
        <v>151</v>
      </c>
      <c r="H109" s="27">
        <v>120920</v>
      </c>
      <c r="I109" s="28" t="s">
        <v>4</v>
      </c>
      <c r="J109" s="28" t="s">
        <v>1</v>
      </c>
      <c r="K109" s="262">
        <v>2</v>
      </c>
      <c r="L109" s="261" t="s">
        <v>311</v>
      </c>
      <c r="M109" s="28"/>
      <c r="N109" s="29"/>
      <c r="O109" s="43"/>
      <c r="P109" s="24"/>
      <c r="Q109" s="24"/>
      <c r="R109" s="24" t="s">
        <v>20</v>
      </c>
      <c r="S109" s="56">
        <f>230830+11000</f>
        <v>241830</v>
      </c>
    </row>
    <row r="110" spans="1:19" ht="18" customHeight="1">
      <c r="A110" s="10"/>
      <c r="B110" s="16"/>
      <c r="C110" s="22"/>
      <c r="D110" s="33"/>
      <c r="E110" s="21"/>
      <c r="F110" s="39"/>
      <c r="G110" s="385" t="s">
        <v>17</v>
      </c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83">
        <f>ROUNDUP(S107+S108+S109,-3)</f>
        <v>5800000</v>
      </c>
    </row>
    <row r="111" spans="1:19" ht="18" customHeight="1">
      <c r="A111" s="140"/>
      <c r="B111" s="118"/>
      <c r="C111" s="163" t="s">
        <v>205</v>
      </c>
      <c r="D111" s="10">
        <v>4500</v>
      </c>
      <c r="E111" s="62">
        <v>4500</v>
      </c>
      <c r="F111" s="41">
        <f>D111-E111</f>
        <v>0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55"/>
    </row>
    <row r="112" spans="1:19" ht="18" customHeight="1">
      <c r="A112" s="140"/>
      <c r="B112" s="118"/>
      <c r="C112" s="31"/>
      <c r="D112" s="10"/>
      <c r="E112" s="62"/>
      <c r="F112" s="41"/>
      <c r="G112" s="38" t="s">
        <v>312</v>
      </c>
      <c r="H112" s="27">
        <v>125000</v>
      </c>
      <c r="I112" s="28" t="s">
        <v>4</v>
      </c>
      <c r="J112" s="28" t="s">
        <v>1</v>
      </c>
      <c r="K112" s="27">
        <v>1</v>
      </c>
      <c r="L112" s="43" t="s">
        <v>0</v>
      </c>
      <c r="M112" s="28" t="s">
        <v>1</v>
      </c>
      <c r="N112" s="29">
        <v>12</v>
      </c>
      <c r="O112" s="43" t="s">
        <v>2</v>
      </c>
      <c r="P112" s="24"/>
      <c r="Q112" s="24"/>
      <c r="R112" s="24" t="s">
        <v>20</v>
      </c>
      <c r="S112" s="56">
        <f>H112*K112*N112</f>
        <v>1500000</v>
      </c>
    </row>
    <row r="113" spans="1:19" ht="18" customHeight="1">
      <c r="A113" s="140"/>
      <c r="B113" s="118"/>
      <c r="C113" s="31"/>
      <c r="D113" s="10"/>
      <c r="E113" s="62"/>
      <c r="F113" s="41"/>
      <c r="G113" s="38" t="s">
        <v>154</v>
      </c>
      <c r="H113" s="27">
        <v>250000</v>
      </c>
      <c r="I113" s="28" t="s">
        <v>4</v>
      </c>
      <c r="J113" s="28" t="s">
        <v>1</v>
      </c>
      <c r="K113" s="27">
        <v>1</v>
      </c>
      <c r="L113" s="43" t="s">
        <v>0</v>
      </c>
      <c r="M113" s="28" t="s">
        <v>1</v>
      </c>
      <c r="N113" s="29">
        <v>12</v>
      </c>
      <c r="O113" s="43" t="s">
        <v>137</v>
      </c>
      <c r="P113" s="24"/>
      <c r="Q113" s="24"/>
      <c r="R113" s="24" t="s">
        <v>20</v>
      </c>
      <c r="S113" s="56">
        <v>3000000</v>
      </c>
    </row>
    <row r="114" spans="1:19" ht="18" customHeight="1">
      <c r="A114" s="10"/>
      <c r="B114" s="16"/>
      <c r="C114" s="22"/>
      <c r="D114" s="33"/>
      <c r="E114" s="21"/>
      <c r="F114" s="39"/>
      <c r="G114" s="385" t="s">
        <v>17</v>
      </c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83">
        <f>SUM(S112:S113)</f>
        <v>4500000</v>
      </c>
    </row>
    <row r="115" spans="1:19" ht="18" customHeight="1">
      <c r="A115" s="140"/>
      <c r="B115" s="117"/>
      <c r="C115" s="163" t="s">
        <v>206</v>
      </c>
      <c r="D115" s="8">
        <v>14166</v>
      </c>
      <c r="E115" s="62">
        <v>20473</v>
      </c>
      <c r="F115" s="41">
        <f>D115-E115</f>
        <v>-6307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55"/>
    </row>
    <row r="116" spans="1:19" ht="19.5" customHeight="1">
      <c r="A116" s="10"/>
      <c r="B116" s="118"/>
      <c r="C116" s="31"/>
      <c r="D116" s="10"/>
      <c r="E116" s="16"/>
      <c r="F116" s="41"/>
      <c r="G116" s="38" t="s">
        <v>147</v>
      </c>
      <c r="H116" s="27">
        <v>65000</v>
      </c>
      <c r="I116" s="28" t="s">
        <v>4</v>
      </c>
      <c r="J116" s="28" t="s">
        <v>1</v>
      </c>
      <c r="K116" s="164">
        <v>1</v>
      </c>
      <c r="L116" s="263" t="s">
        <v>313</v>
      </c>
      <c r="M116" s="72" t="s">
        <v>28</v>
      </c>
      <c r="N116" s="164">
        <v>12</v>
      </c>
      <c r="O116" s="31" t="s">
        <v>25</v>
      </c>
      <c r="P116" s="29"/>
      <c r="Q116" s="43"/>
      <c r="R116" s="45" t="s">
        <v>69</v>
      </c>
      <c r="S116" s="56">
        <v>780000</v>
      </c>
    </row>
    <row r="117" spans="1:19" ht="19.5" customHeight="1">
      <c r="A117" s="10"/>
      <c r="B117" s="118"/>
      <c r="C117" s="31"/>
      <c r="D117" s="10"/>
      <c r="E117" s="16"/>
      <c r="F117" s="41"/>
      <c r="G117" s="38" t="s">
        <v>148</v>
      </c>
      <c r="H117" s="27">
        <v>1912290</v>
      </c>
      <c r="I117" s="28" t="s">
        <v>21</v>
      </c>
      <c r="J117" s="28" t="s">
        <v>1</v>
      </c>
      <c r="K117" s="316">
        <v>3.5</v>
      </c>
      <c r="L117" s="72" t="s">
        <v>71</v>
      </c>
      <c r="M117" s="72" t="s">
        <v>28</v>
      </c>
      <c r="N117" s="164">
        <v>2</v>
      </c>
      <c r="O117" s="31" t="s">
        <v>25</v>
      </c>
      <c r="P117" s="29"/>
      <c r="Q117" s="43"/>
      <c r="R117" s="45" t="s">
        <v>69</v>
      </c>
      <c r="S117" s="56">
        <f>13385670+330</f>
        <v>13386000</v>
      </c>
    </row>
    <row r="118" spans="1:21" ht="18" customHeight="1">
      <c r="A118" s="10"/>
      <c r="B118" s="16"/>
      <c r="C118" s="22"/>
      <c r="D118" s="33"/>
      <c r="E118" s="21"/>
      <c r="F118" s="39"/>
      <c r="G118" s="385" t="s">
        <v>17</v>
      </c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83">
        <f>S116+S117</f>
        <v>14166000</v>
      </c>
      <c r="U118" s="270"/>
    </row>
    <row r="119" spans="1:19" ht="18" customHeight="1">
      <c r="A119" s="140"/>
      <c r="B119" s="117"/>
      <c r="C119" s="300" t="s">
        <v>207</v>
      </c>
      <c r="D119" s="62">
        <v>7450</v>
      </c>
      <c r="E119" s="62">
        <v>7464</v>
      </c>
      <c r="F119" s="41">
        <f>D119-E119</f>
        <v>-14</v>
      </c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55"/>
    </row>
    <row r="120" spans="1:19" ht="19.5" customHeight="1">
      <c r="A120" s="10"/>
      <c r="B120" s="118"/>
      <c r="C120" s="31"/>
      <c r="D120" s="10"/>
      <c r="E120" s="16"/>
      <c r="F120" s="41"/>
      <c r="G120" s="38" t="s">
        <v>147</v>
      </c>
      <c r="H120" s="27">
        <v>130000</v>
      </c>
      <c r="I120" s="28" t="s">
        <v>4</v>
      </c>
      <c r="J120" s="28" t="s">
        <v>1</v>
      </c>
      <c r="K120" s="164">
        <v>1</v>
      </c>
      <c r="L120" s="72" t="s">
        <v>71</v>
      </c>
      <c r="M120" s="72" t="s">
        <v>28</v>
      </c>
      <c r="N120" s="164">
        <v>12</v>
      </c>
      <c r="O120" s="31" t="s">
        <v>25</v>
      </c>
      <c r="P120" s="29"/>
      <c r="Q120" s="43"/>
      <c r="R120" s="45" t="s">
        <v>69</v>
      </c>
      <c r="S120" s="56">
        <v>1560000</v>
      </c>
    </row>
    <row r="121" spans="1:19" ht="19.5" customHeight="1">
      <c r="A121" s="10"/>
      <c r="B121" s="118"/>
      <c r="C121" s="31"/>
      <c r="D121" s="10"/>
      <c r="E121" s="16"/>
      <c r="F121" s="41"/>
      <c r="G121" s="38" t="s">
        <v>148</v>
      </c>
      <c r="H121" s="27">
        <v>2383070</v>
      </c>
      <c r="I121" s="28" t="s">
        <v>21</v>
      </c>
      <c r="J121" s="28" t="s">
        <v>1</v>
      </c>
      <c r="K121" s="164">
        <v>1</v>
      </c>
      <c r="L121" s="72" t="s">
        <v>71</v>
      </c>
      <c r="M121" s="72" t="s">
        <v>28</v>
      </c>
      <c r="N121" s="164">
        <v>2</v>
      </c>
      <c r="O121" s="31" t="s">
        <v>25</v>
      </c>
      <c r="P121" s="29"/>
      <c r="Q121" s="43"/>
      <c r="R121" s="45" t="s">
        <v>69</v>
      </c>
      <c r="S121" s="56">
        <v>4766150</v>
      </c>
    </row>
    <row r="122" spans="1:19" ht="19.5" customHeight="1">
      <c r="A122" s="10"/>
      <c r="B122" s="118"/>
      <c r="C122" s="31"/>
      <c r="D122" s="10"/>
      <c r="E122" s="16"/>
      <c r="F122" s="41"/>
      <c r="G122" s="38" t="s">
        <v>149</v>
      </c>
      <c r="H122" s="27">
        <v>1123850</v>
      </c>
      <c r="I122" s="28" t="s">
        <v>4</v>
      </c>
      <c r="J122" s="28" t="s">
        <v>1</v>
      </c>
      <c r="K122" s="27">
        <v>1</v>
      </c>
      <c r="L122" s="43" t="s">
        <v>0</v>
      </c>
      <c r="M122" s="28" t="s">
        <v>1</v>
      </c>
      <c r="N122" s="29">
        <v>1</v>
      </c>
      <c r="O122" s="43" t="s">
        <v>6</v>
      </c>
      <c r="P122" s="24"/>
      <c r="Q122" s="24"/>
      <c r="R122" s="24" t="s">
        <v>20</v>
      </c>
      <c r="S122" s="56">
        <f>1121750+2100</f>
        <v>1123850</v>
      </c>
    </row>
    <row r="123" spans="1:19" ht="18" customHeight="1">
      <c r="A123" s="10"/>
      <c r="B123" s="16"/>
      <c r="C123" s="22"/>
      <c r="D123" s="33"/>
      <c r="E123" s="21"/>
      <c r="F123" s="39"/>
      <c r="G123" s="385" t="s">
        <v>17</v>
      </c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83">
        <f>SUM(S119:S122)</f>
        <v>7450000</v>
      </c>
    </row>
    <row r="124" spans="1:19" ht="18" customHeight="1">
      <c r="A124" s="140"/>
      <c r="B124" s="118"/>
      <c r="C124" s="300" t="s">
        <v>208</v>
      </c>
      <c r="D124" s="62">
        <v>19042</v>
      </c>
      <c r="E124" s="62">
        <v>21911</v>
      </c>
      <c r="F124" s="41">
        <f>D124-E124</f>
        <v>-2869</v>
      </c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55"/>
    </row>
    <row r="125" spans="1:19" ht="18" customHeight="1">
      <c r="A125" s="140"/>
      <c r="B125" s="118"/>
      <c r="C125" s="31"/>
      <c r="D125" s="10"/>
      <c r="E125" s="62"/>
      <c r="F125" s="41"/>
      <c r="G125" s="38" t="s">
        <v>209</v>
      </c>
      <c r="H125" s="27">
        <v>4060070</v>
      </c>
      <c r="I125" s="28" t="s">
        <v>4</v>
      </c>
      <c r="J125" s="28" t="s">
        <v>1</v>
      </c>
      <c r="K125" s="302">
        <v>3.5</v>
      </c>
      <c r="L125" s="43" t="s">
        <v>0</v>
      </c>
      <c r="M125" s="28" t="s">
        <v>1</v>
      </c>
      <c r="N125" s="29">
        <v>1</v>
      </c>
      <c r="O125" s="43" t="s">
        <v>6</v>
      </c>
      <c r="P125" s="24"/>
      <c r="Q125" s="24"/>
      <c r="R125" s="24" t="s">
        <v>20</v>
      </c>
      <c r="S125" s="56">
        <v>14210260</v>
      </c>
    </row>
    <row r="126" spans="1:19" ht="18" customHeight="1">
      <c r="A126" s="140"/>
      <c r="B126" s="118"/>
      <c r="C126" s="31"/>
      <c r="D126" s="10"/>
      <c r="E126" s="62"/>
      <c r="F126" s="41"/>
      <c r="G126" s="38" t="s">
        <v>210</v>
      </c>
      <c r="H126" s="27">
        <v>4832060</v>
      </c>
      <c r="I126" s="28" t="s">
        <v>4</v>
      </c>
      <c r="J126" s="28" t="s">
        <v>1</v>
      </c>
      <c r="K126" s="27">
        <v>1</v>
      </c>
      <c r="L126" s="43" t="s">
        <v>0</v>
      </c>
      <c r="M126" s="28" t="s">
        <v>1</v>
      </c>
      <c r="N126" s="29">
        <v>1</v>
      </c>
      <c r="O126" s="43" t="s">
        <v>24</v>
      </c>
      <c r="P126" s="24"/>
      <c r="Q126" s="24"/>
      <c r="R126" s="24" t="s">
        <v>20</v>
      </c>
      <c r="S126" s="56">
        <f>4830060+2000</f>
        <v>4832060</v>
      </c>
    </row>
    <row r="127" spans="1:19" ht="18" customHeight="1">
      <c r="A127" s="10"/>
      <c r="B127" s="16"/>
      <c r="C127" s="22"/>
      <c r="D127" s="33"/>
      <c r="E127" s="21"/>
      <c r="F127" s="39"/>
      <c r="G127" s="385" t="s">
        <v>17</v>
      </c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  <c r="R127" s="385"/>
      <c r="S127" s="83">
        <f>ROUNDDOWN(S125+S126,-3)</f>
        <v>19042000</v>
      </c>
    </row>
    <row r="128" spans="1:19" ht="18" customHeight="1">
      <c r="A128" s="140"/>
      <c r="B128" s="118"/>
      <c r="C128" s="300" t="s">
        <v>211</v>
      </c>
      <c r="D128" s="62">
        <v>30589</v>
      </c>
      <c r="E128" s="62">
        <v>37918</v>
      </c>
      <c r="F128" s="41">
        <f>D128-E128</f>
        <v>-7329</v>
      </c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55"/>
    </row>
    <row r="129" spans="1:19" ht="19.5" customHeight="1">
      <c r="A129" s="10"/>
      <c r="B129" s="118"/>
      <c r="C129" s="31"/>
      <c r="D129" s="10"/>
      <c r="E129" s="255" t="s">
        <v>273</v>
      </c>
      <c r="F129" s="41"/>
      <c r="G129" s="38" t="s">
        <v>315</v>
      </c>
      <c r="H129" s="27">
        <v>435490</v>
      </c>
      <c r="I129" s="28" t="s">
        <v>4</v>
      </c>
      <c r="J129" s="28" t="s">
        <v>1</v>
      </c>
      <c r="K129" s="316">
        <v>3.5</v>
      </c>
      <c r="L129" s="72" t="s">
        <v>71</v>
      </c>
      <c r="M129" s="72" t="s">
        <v>28</v>
      </c>
      <c r="N129" s="164">
        <v>12</v>
      </c>
      <c r="O129" s="31" t="s">
        <v>25</v>
      </c>
      <c r="P129" s="29"/>
      <c r="Q129" s="43"/>
      <c r="R129" s="45" t="s">
        <v>69</v>
      </c>
      <c r="S129" s="56">
        <v>18290400</v>
      </c>
    </row>
    <row r="130" spans="1:19" ht="19.5" customHeight="1">
      <c r="A130" s="10"/>
      <c r="B130" s="118"/>
      <c r="C130" s="31"/>
      <c r="D130" s="10"/>
      <c r="E130" s="16"/>
      <c r="F130" s="41"/>
      <c r="G130" s="38" t="s">
        <v>317</v>
      </c>
      <c r="H130" s="27">
        <v>1682000</v>
      </c>
      <c r="I130" s="28" t="s">
        <v>21</v>
      </c>
      <c r="J130" s="28" t="s">
        <v>1</v>
      </c>
      <c r="K130" s="164">
        <v>1</v>
      </c>
      <c r="L130" s="72" t="s">
        <v>26</v>
      </c>
      <c r="M130" s="72" t="s">
        <v>28</v>
      </c>
      <c r="N130" s="164">
        <v>1</v>
      </c>
      <c r="O130" s="163" t="s">
        <v>318</v>
      </c>
      <c r="P130" s="29"/>
      <c r="Q130" s="43"/>
      <c r="R130" s="45" t="s">
        <v>18</v>
      </c>
      <c r="S130" s="56">
        <v>7682000</v>
      </c>
    </row>
    <row r="131" spans="1:19" ht="19.5" customHeight="1">
      <c r="A131" s="10"/>
      <c r="B131" s="118"/>
      <c r="C131" s="31"/>
      <c r="D131" s="10"/>
      <c r="E131" s="16"/>
      <c r="F131" s="41"/>
      <c r="G131" s="38" t="s">
        <v>152</v>
      </c>
      <c r="H131" s="27">
        <v>55000</v>
      </c>
      <c r="I131" s="28" t="s">
        <v>21</v>
      </c>
      <c r="J131" s="28" t="s">
        <v>1</v>
      </c>
      <c r="K131" s="164">
        <v>1</v>
      </c>
      <c r="L131" s="72" t="s">
        <v>26</v>
      </c>
      <c r="M131" s="72" t="s">
        <v>28</v>
      </c>
      <c r="N131" s="164">
        <v>12</v>
      </c>
      <c r="O131" s="31" t="s">
        <v>25</v>
      </c>
      <c r="P131" s="29"/>
      <c r="Q131" s="43"/>
      <c r="R131" s="45" t="s">
        <v>18</v>
      </c>
      <c r="S131" s="56">
        <v>660000</v>
      </c>
    </row>
    <row r="132" spans="1:19" ht="19.5" customHeight="1">
      <c r="A132" s="10"/>
      <c r="B132" s="118"/>
      <c r="C132" s="31"/>
      <c r="D132" s="10"/>
      <c r="E132" s="16"/>
      <c r="F132" s="41"/>
      <c r="G132" s="38" t="s">
        <v>153</v>
      </c>
      <c r="H132" s="27">
        <v>55000</v>
      </c>
      <c r="I132" s="28" t="s">
        <v>4</v>
      </c>
      <c r="J132" s="28" t="s">
        <v>1</v>
      </c>
      <c r="K132" s="27">
        <v>1</v>
      </c>
      <c r="L132" s="43" t="s">
        <v>0</v>
      </c>
      <c r="M132" s="28" t="s">
        <v>1</v>
      </c>
      <c r="N132" s="29">
        <v>3</v>
      </c>
      <c r="O132" s="43" t="s">
        <v>2</v>
      </c>
      <c r="P132" s="24"/>
      <c r="Q132" s="24"/>
      <c r="R132" s="24" t="s">
        <v>20</v>
      </c>
      <c r="S132" s="56">
        <v>165000</v>
      </c>
    </row>
    <row r="133" spans="1:19" ht="19.5" customHeight="1">
      <c r="A133" s="10"/>
      <c r="B133" s="118"/>
      <c r="C133" s="31"/>
      <c r="D133" s="10"/>
      <c r="E133" s="16"/>
      <c r="F133" s="41"/>
      <c r="G133" s="38" t="s">
        <v>448</v>
      </c>
      <c r="H133" s="27">
        <v>2291600</v>
      </c>
      <c r="I133" s="28" t="s">
        <v>4</v>
      </c>
      <c r="J133" s="28" t="s">
        <v>1</v>
      </c>
      <c r="K133" s="27">
        <v>1</v>
      </c>
      <c r="L133" s="43" t="s">
        <v>0</v>
      </c>
      <c r="M133" s="28" t="s">
        <v>1</v>
      </c>
      <c r="N133" s="29">
        <v>1</v>
      </c>
      <c r="O133" s="43" t="s">
        <v>6</v>
      </c>
      <c r="P133" s="24"/>
      <c r="Q133" s="24"/>
      <c r="R133" s="24" t="s">
        <v>18</v>
      </c>
      <c r="S133" s="56">
        <f>2287200+4400</f>
        <v>2291600</v>
      </c>
    </row>
    <row r="134" spans="1:19" ht="19.5" customHeight="1">
      <c r="A134" s="10"/>
      <c r="B134" s="118"/>
      <c r="C134" s="31"/>
      <c r="D134" s="10"/>
      <c r="E134" s="16"/>
      <c r="F134" s="41"/>
      <c r="G134" s="38" t="s">
        <v>316</v>
      </c>
      <c r="H134" s="27">
        <v>500000</v>
      </c>
      <c r="I134" s="28" t="s">
        <v>4</v>
      </c>
      <c r="J134" s="28" t="s">
        <v>1</v>
      </c>
      <c r="K134" s="27">
        <v>3</v>
      </c>
      <c r="L134" s="43" t="s">
        <v>0</v>
      </c>
      <c r="M134" s="28" t="s">
        <v>1</v>
      </c>
      <c r="N134" s="29">
        <v>1</v>
      </c>
      <c r="O134" s="43" t="s">
        <v>6</v>
      </c>
      <c r="P134" s="24"/>
      <c r="Q134" s="24"/>
      <c r="R134" s="24" t="s">
        <v>20</v>
      </c>
      <c r="S134" s="56">
        <f>1500000</f>
        <v>1500000</v>
      </c>
    </row>
    <row r="135" spans="1:19" ht="18" customHeight="1">
      <c r="A135" s="10"/>
      <c r="B135" s="16"/>
      <c r="C135" s="22"/>
      <c r="D135" s="33"/>
      <c r="E135" s="21"/>
      <c r="F135" s="39"/>
      <c r="G135" s="385" t="s">
        <v>17</v>
      </c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  <c r="R135" s="385"/>
      <c r="S135" s="83">
        <f>SUM(S129:S134)</f>
        <v>30589000</v>
      </c>
    </row>
    <row r="136" spans="1:19" ht="18" customHeight="1">
      <c r="A136" s="140"/>
      <c r="B136" s="118"/>
      <c r="C136" s="300" t="s">
        <v>342</v>
      </c>
      <c r="D136" s="62">
        <v>1710</v>
      </c>
      <c r="E136" s="62">
        <v>2040</v>
      </c>
      <c r="F136" s="41">
        <f>D136-E136</f>
        <v>-330</v>
      </c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55"/>
    </row>
    <row r="137" spans="1:19" ht="18" customHeight="1">
      <c r="A137" s="140"/>
      <c r="B137" s="118"/>
      <c r="C137" s="31"/>
      <c r="D137" s="10"/>
      <c r="E137" s="62"/>
      <c r="F137" s="41"/>
      <c r="G137" s="38" t="s">
        <v>343</v>
      </c>
      <c r="H137" s="27">
        <v>40710</v>
      </c>
      <c r="I137" s="28" t="s">
        <v>4</v>
      </c>
      <c r="J137" s="28" t="s">
        <v>1</v>
      </c>
      <c r="K137" s="302">
        <v>3.5</v>
      </c>
      <c r="L137" s="43" t="s">
        <v>0</v>
      </c>
      <c r="M137" s="28" t="s">
        <v>1</v>
      </c>
      <c r="N137" s="29">
        <v>12</v>
      </c>
      <c r="O137" s="43" t="s">
        <v>2</v>
      </c>
      <c r="P137" s="24"/>
      <c r="Q137" s="24"/>
      <c r="R137" s="24" t="s">
        <v>18</v>
      </c>
      <c r="S137" s="56">
        <v>1710000</v>
      </c>
    </row>
    <row r="138" spans="1:19" ht="18" customHeight="1">
      <c r="A138" s="10"/>
      <c r="B138" s="16"/>
      <c r="C138" s="22"/>
      <c r="D138" s="33"/>
      <c r="E138" s="21"/>
      <c r="F138" s="39"/>
      <c r="G138" s="385" t="s">
        <v>17</v>
      </c>
      <c r="H138" s="385"/>
      <c r="I138" s="385"/>
      <c r="J138" s="385"/>
      <c r="K138" s="385"/>
      <c r="L138" s="385"/>
      <c r="M138" s="385"/>
      <c r="N138" s="385"/>
      <c r="O138" s="385"/>
      <c r="P138" s="385"/>
      <c r="Q138" s="385"/>
      <c r="R138" s="385"/>
      <c r="S138" s="83">
        <f>SUM(S137:S137)</f>
        <v>1710000</v>
      </c>
    </row>
    <row r="139" spans="1:19" ht="18" customHeight="1">
      <c r="A139" s="383" t="s">
        <v>455</v>
      </c>
      <c r="B139" s="384"/>
      <c r="C139" s="384"/>
      <c r="D139" s="124">
        <f>D140+D221</f>
        <v>373435</v>
      </c>
      <c r="E139" s="144">
        <f>E140+E221</f>
        <v>218223</v>
      </c>
      <c r="F139" s="145">
        <f>F140+F221</f>
        <v>155212</v>
      </c>
      <c r="G139" s="146"/>
      <c r="H139" s="125"/>
      <c r="I139" s="125"/>
      <c r="J139" s="125"/>
      <c r="K139" s="125"/>
      <c r="L139" s="143"/>
      <c r="M139" s="125"/>
      <c r="N139" s="125"/>
      <c r="O139" s="143"/>
      <c r="P139" s="125"/>
      <c r="Q139" s="143"/>
      <c r="R139" s="125"/>
      <c r="S139" s="147"/>
    </row>
    <row r="140" spans="1:19" ht="18" customHeight="1">
      <c r="A140" s="32"/>
      <c r="B140" s="381" t="s">
        <v>58</v>
      </c>
      <c r="C140" s="382"/>
      <c r="D140" s="149">
        <f>D141+D216</f>
        <v>336353</v>
      </c>
      <c r="E140" s="149">
        <f>E141+E216</f>
        <v>194551</v>
      </c>
      <c r="F140" s="149">
        <f>F141+F216</f>
        <v>141802</v>
      </c>
      <c r="G140" s="150"/>
      <c r="H140" s="151"/>
      <c r="I140" s="151"/>
      <c r="J140" s="151"/>
      <c r="K140" s="151"/>
      <c r="L140" s="148"/>
      <c r="M140" s="151"/>
      <c r="N140" s="151"/>
      <c r="O140" s="148"/>
      <c r="P140" s="151"/>
      <c r="Q140" s="148"/>
      <c r="R140" s="151"/>
      <c r="S140" s="152"/>
    </row>
    <row r="141" spans="1:19" ht="18" customHeight="1">
      <c r="A141" s="10"/>
      <c r="B141" s="11"/>
      <c r="C141" s="303" t="s">
        <v>59</v>
      </c>
      <c r="D141" s="63">
        <v>336353</v>
      </c>
      <c r="E141" s="63">
        <v>194551</v>
      </c>
      <c r="F141" s="40">
        <f>+D141-E141</f>
        <v>141802</v>
      </c>
      <c r="G141" s="37"/>
      <c r="H141" s="14"/>
      <c r="I141" s="14"/>
      <c r="J141" s="14"/>
      <c r="K141" s="14"/>
      <c r="L141" s="30"/>
      <c r="M141" s="14"/>
      <c r="N141" s="14"/>
      <c r="O141" s="30"/>
      <c r="P141" s="14"/>
      <c r="Q141" s="30"/>
      <c r="R141" s="14"/>
      <c r="S141" s="54"/>
    </row>
    <row r="142" spans="1:19" ht="18" customHeight="1">
      <c r="A142" s="10"/>
      <c r="B142" s="16"/>
      <c r="C142" s="36"/>
      <c r="D142" s="10"/>
      <c r="E142" s="62"/>
      <c r="F142" s="41"/>
      <c r="G142" s="86" t="s">
        <v>72</v>
      </c>
      <c r="H142" s="87"/>
      <c r="I142" s="87"/>
      <c r="J142" s="87"/>
      <c r="K142" s="87"/>
      <c r="L142" s="88"/>
      <c r="M142" s="87"/>
      <c r="N142" s="87"/>
      <c r="O142" s="88"/>
      <c r="P142" s="87"/>
      <c r="Q142" s="88"/>
      <c r="R142" s="87"/>
      <c r="S142" s="257"/>
    </row>
    <row r="143" spans="1:19" ht="18" customHeight="1">
      <c r="A143" s="10"/>
      <c r="B143" s="16"/>
      <c r="C143" s="18"/>
      <c r="D143" s="10"/>
      <c r="E143" s="62"/>
      <c r="F143" s="41"/>
      <c r="G143" s="90" t="s">
        <v>29</v>
      </c>
      <c r="H143" s="87">
        <v>0</v>
      </c>
      <c r="I143" s="87" t="s">
        <v>3</v>
      </c>
      <c r="J143" s="87" t="s">
        <v>5</v>
      </c>
      <c r="K143" s="87">
        <v>1</v>
      </c>
      <c r="L143" s="232" t="s">
        <v>355</v>
      </c>
      <c r="M143" s="87"/>
      <c r="N143" s="87"/>
      <c r="O143" s="88"/>
      <c r="P143" s="87"/>
      <c r="Q143" s="88"/>
      <c r="R143" s="91" t="s">
        <v>14</v>
      </c>
      <c r="S143" s="60">
        <v>0</v>
      </c>
    </row>
    <row r="144" spans="1:19" ht="18" customHeight="1">
      <c r="A144" s="10"/>
      <c r="B144" s="16"/>
      <c r="C144" s="18"/>
      <c r="D144" s="10"/>
      <c r="E144" s="62"/>
      <c r="F144" s="41"/>
      <c r="G144" s="90" t="s">
        <v>216</v>
      </c>
      <c r="H144" s="87">
        <v>51310</v>
      </c>
      <c r="I144" s="87" t="s">
        <v>3</v>
      </c>
      <c r="J144" s="87" t="s">
        <v>5</v>
      </c>
      <c r="K144" s="87">
        <v>12</v>
      </c>
      <c r="L144" s="88" t="s">
        <v>16</v>
      </c>
      <c r="M144" s="87"/>
      <c r="N144" s="87"/>
      <c r="O144" s="88"/>
      <c r="P144" s="87"/>
      <c r="Q144" s="88"/>
      <c r="R144" s="91" t="s">
        <v>14</v>
      </c>
      <c r="S144" s="60">
        <v>615710</v>
      </c>
    </row>
    <row r="145" spans="1:19" ht="18" customHeight="1">
      <c r="A145" s="10"/>
      <c r="B145" s="16"/>
      <c r="C145" s="18"/>
      <c r="D145" s="10"/>
      <c r="E145" s="62"/>
      <c r="F145" s="41"/>
      <c r="G145" s="90" t="s">
        <v>156</v>
      </c>
      <c r="H145" s="87">
        <v>40000</v>
      </c>
      <c r="I145" s="87" t="s">
        <v>3</v>
      </c>
      <c r="J145" s="87" t="s">
        <v>5</v>
      </c>
      <c r="K145" s="87">
        <v>12</v>
      </c>
      <c r="L145" s="88" t="s">
        <v>16</v>
      </c>
      <c r="M145" s="87"/>
      <c r="N145" s="87"/>
      <c r="O145" s="88"/>
      <c r="P145" s="87"/>
      <c r="Q145" s="88"/>
      <c r="R145" s="91" t="s">
        <v>14</v>
      </c>
      <c r="S145" s="60">
        <v>480000</v>
      </c>
    </row>
    <row r="146" spans="1:19" ht="18" customHeight="1">
      <c r="A146" s="10"/>
      <c r="B146" s="16"/>
      <c r="C146" s="18"/>
      <c r="D146" s="10"/>
      <c r="E146" s="62"/>
      <c r="F146" s="41"/>
      <c r="G146" s="92" t="s">
        <v>30</v>
      </c>
      <c r="H146" s="87">
        <v>21440</v>
      </c>
      <c r="I146" s="87" t="s">
        <v>3</v>
      </c>
      <c r="J146" s="87" t="s">
        <v>5</v>
      </c>
      <c r="K146" s="87">
        <v>12</v>
      </c>
      <c r="L146" s="88" t="s">
        <v>16</v>
      </c>
      <c r="M146" s="87"/>
      <c r="N146" s="87"/>
      <c r="O146" s="88"/>
      <c r="P146" s="87"/>
      <c r="Q146" s="88"/>
      <c r="R146" s="91" t="s">
        <v>14</v>
      </c>
      <c r="S146" s="60">
        <v>257290</v>
      </c>
    </row>
    <row r="147" spans="1:19" ht="18" customHeight="1">
      <c r="A147" s="10"/>
      <c r="B147" s="16"/>
      <c r="C147" s="18"/>
      <c r="D147" s="10"/>
      <c r="E147" s="62"/>
      <c r="F147" s="41"/>
      <c r="G147" s="90" t="s">
        <v>31</v>
      </c>
      <c r="H147" s="87">
        <v>127420</v>
      </c>
      <c r="I147" s="87" t="s">
        <v>3</v>
      </c>
      <c r="J147" s="87" t="s">
        <v>5</v>
      </c>
      <c r="K147" s="87">
        <v>12</v>
      </c>
      <c r="L147" s="88" t="s">
        <v>16</v>
      </c>
      <c r="M147" s="87"/>
      <c r="N147" s="87"/>
      <c r="O147" s="88"/>
      <c r="P147" s="87"/>
      <c r="Q147" s="88"/>
      <c r="R147" s="91" t="s">
        <v>14</v>
      </c>
      <c r="S147" s="60">
        <v>1529000</v>
      </c>
    </row>
    <row r="148" spans="1:19" ht="18" customHeight="1">
      <c r="A148" s="10"/>
      <c r="B148" s="16"/>
      <c r="C148" s="18"/>
      <c r="D148" s="10"/>
      <c r="E148" s="62"/>
      <c r="F148" s="41"/>
      <c r="G148" s="233" t="s">
        <v>403</v>
      </c>
      <c r="H148" s="87">
        <v>465000</v>
      </c>
      <c r="I148" s="87" t="s">
        <v>3</v>
      </c>
      <c r="J148" s="87" t="s">
        <v>5</v>
      </c>
      <c r="K148" s="87">
        <v>1</v>
      </c>
      <c r="L148" s="232" t="s">
        <v>272</v>
      </c>
      <c r="M148" s="87"/>
      <c r="N148" s="87"/>
      <c r="O148" s="88"/>
      <c r="P148" s="87"/>
      <c r="Q148" s="88"/>
      <c r="R148" s="91" t="s">
        <v>14</v>
      </c>
      <c r="S148" s="60">
        <v>465000</v>
      </c>
    </row>
    <row r="149" spans="1:19" ht="18" customHeight="1">
      <c r="A149" s="10"/>
      <c r="B149" s="16"/>
      <c r="C149" s="18"/>
      <c r="D149" s="10"/>
      <c r="E149" s="62"/>
      <c r="F149" s="41"/>
      <c r="G149" s="86" t="s">
        <v>157</v>
      </c>
      <c r="H149" s="87"/>
      <c r="I149" s="87"/>
      <c r="J149" s="87"/>
      <c r="K149" s="87"/>
      <c r="L149" s="88"/>
      <c r="M149" s="87"/>
      <c r="N149" s="87"/>
      <c r="O149" s="88"/>
      <c r="P149" s="87"/>
      <c r="Q149" s="88"/>
      <c r="R149" s="91"/>
      <c r="S149" s="89"/>
    </row>
    <row r="150" spans="1:19" ht="18" customHeight="1">
      <c r="A150" s="10"/>
      <c r="B150" s="16"/>
      <c r="C150" s="18"/>
      <c r="D150" s="10"/>
      <c r="E150" s="62"/>
      <c r="F150" s="41"/>
      <c r="G150" s="90" t="s">
        <v>217</v>
      </c>
      <c r="H150" s="87">
        <v>129230</v>
      </c>
      <c r="I150" s="87" t="s">
        <v>3</v>
      </c>
      <c r="J150" s="87" t="s">
        <v>5</v>
      </c>
      <c r="K150" s="87">
        <v>6</v>
      </c>
      <c r="L150" s="88" t="s">
        <v>16</v>
      </c>
      <c r="M150" s="87"/>
      <c r="N150" s="87"/>
      <c r="O150" s="88"/>
      <c r="P150" s="87"/>
      <c r="Q150" s="88"/>
      <c r="R150" s="91" t="s">
        <v>14</v>
      </c>
      <c r="S150" s="60">
        <v>775392</v>
      </c>
    </row>
    <row r="151" spans="1:19" ht="18" customHeight="1">
      <c r="A151" s="10"/>
      <c r="B151" s="16"/>
      <c r="C151" s="18"/>
      <c r="D151" s="10"/>
      <c r="E151" s="62"/>
      <c r="F151" s="41"/>
      <c r="G151" s="233" t="s">
        <v>356</v>
      </c>
      <c r="H151" s="87">
        <v>0</v>
      </c>
      <c r="I151" s="236" t="s">
        <v>357</v>
      </c>
      <c r="J151" s="87" t="s">
        <v>5</v>
      </c>
      <c r="K151" s="87">
        <v>6</v>
      </c>
      <c r="L151" s="232" t="s">
        <v>25</v>
      </c>
      <c r="M151" s="87"/>
      <c r="N151" s="87"/>
      <c r="O151" s="88"/>
      <c r="P151" s="87"/>
      <c r="Q151" s="88"/>
      <c r="R151" s="271" t="s">
        <v>358</v>
      </c>
      <c r="S151" s="60"/>
    </row>
    <row r="152" spans="1:19" ht="18" customHeight="1">
      <c r="A152" s="10"/>
      <c r="B152" s="16"/>
      <c r="C152" s="18"/>
      <c r="D152" s="10"/>
      <c r="E152" s="62"/>
      <c r="F152" s="41"/>
      <c r="G152" s="90" t="s">
        <v>218</v>
      </c>
      <c r="H152" s="87">
        <v>133720</v>
      </c>
      <c r="I152" s="87" t="s">
        <v>3</v>
      </c>
      <c r="J152" s="87" t="s">
        <v>5</v>
      </c>
      <c r="K152" s="87">
        <v>12</v>
      </c>
      <c r="L152" s="88" t="s">
        <v>16</v>
      </c>
      <c r="M152" s="87"/>
      <c r="N152" s="87"/>
      <c r="O152" s="88"/>
      <c r="P152" s="87"/>
      <c r="Q152" s="88"/>
      <c r="R152" s="91" t="s">
        <v>14</v>
      </c>
      <c r="S152" s="60">
        <v>1604608</v>
      </c>
    </row>
    <row r="153" spans="1:19" ht="18" customHeight="1">
      <c r="A153" s="10"/>
      <c r="B153" s="16"/>
      <c r="C153" s="18"/>
      <c r="D153" s="10"/>
      <c r="E153" s="62"/>
      <c r="F153" s="41"/>
      <c r="G153" s="90" t="s">
        <v>158</v>
      </c>
      <c r="H153" s="87">
        <v>66920</v>
      </c>
      <c r="I153" s="87" t="s">
        <v>3</v>
      </c>
      <c r="J153" s="87" t="s">
        <v>5</v>
      </c>
      <c r="K153" s="87">
        <v>12</v>
      </c>
      <c r="L153" s="88" t="s">
        <v>16</v>
      </c>
      <c r="M153" s="87"/>
      <c r="N153" s="87"/>
      <c r="O153" s="88"/>
      <c r="P153" s="87"/>
      <c r="Q153" s="88"/>
      <c r="R153" s="91" t="s">
        <v>14</v>
      </c>
      <c r="S153" s="60">
        <v>803000</v>
      </c>
    </row>
    <row r="154" spans="1:19" ht="18" customHeight="1">
      <c r="A154" s="10"/>
      <c r="B154" s="16"/>
      <c r="C154" s="18"/>
      <c r="D154" s="10"/>
      <c r="E154" s="62"/>
      <c r="F154" s="41"/>
      <c r="G154" s="86" t="s">
        <v>330</v>
      </c>
      <c r="H154" s="87"/>
      <c r="I154" s="87"/>
      <c r="J154" s="87"/>
      <c r="K154" s="87"/>
      <c r="L154" s="88"/>
      <c r="M154" s="87"/>
      <c r="N154" s="87"/>
      <c r="O154" s="88"/>
      <c r="P154" s="87"/>
      <c r="Q154" s="88"/>
      <c r="R154" s="91"/>
      <c r="S154" s="89"/>
    </row>
    <row r="155" spans="1:19" ht="18" customHeight="1">
      <c r="A155" s="10"/>
      <c r="B155" s="16"/>
      <c r="C155" s="18"/>
      <c r="D155" s="10"/>
      <c r="E155" s="62"/>
      <c r="F155" s="41"/>
      <c r="G155" s="233" t="s">
        <v>331</v>
      </c>
      <c r="H155" s="87">
        <v>27070</v>
      </c>
      <c r="I155" s="87" t="s">
        <v>3</v>
      </c>
      <c r="J155" s="87" t="s">
        <v>5</v>
      </c>
      <c r="K155" s="87">
        <v>1</v>
      </c>
      <c r="L155" s="232" t="s">
        <v>333</v>
      </c>
      <c r="M155" s="87"/>
      <c r="N155" s="87"/>
      <c r="O155" s="88"/>
      <c r="P155" s="87"/>
      <c r="Q155" s="88"/>
      <c r="R155" s="91" t="s">
        <v>14</v>
      </c>
      <c r="S155" s="60">
        <v>27070</v>
      </c>
    </row>
    <row r="156" spans="1:19" ht="18" customHeight="1">
      <c r="A156" s="10"/>
      <c r="B156" s="16"/>
      <c r="C156" s="18"/>
      <c r="D156" s="10"/>
      <c r="E156" s="62"/>
      <c r="F156" s="41"/>
      <c r="G156" s="233" t="s">
        <v>332</v>
      </c>
      <c r="H156" s="87">
        <v>591000</v>
      </c>
      <c r="I156" s="87" t="s">
        <v>3</v>
      </c>
      <c r="J156" s="87" t="s">
        <v>5</v>
      </c>
      <c r="K156" s="87">
        <v>1</v>
      </c>
      <c r="L156" s="88" t="s">
        <v>16</v>
      </c>
      <c r="M156" s="87"/>
      <c r="N156" s="87"/>
      <c r="O156" s="88"/>
      <c r="P156" s="87"/>
      <c r="Q156" s="88"/>
      <c r="R156" s="91" t="s">
        <v>14</v>
      </c>
      <c r="S156" s="60">
        <v>591000</v>
      </c>
    </row>
    <row r="157" spans="1:19" ht="18" customHeight="1">
      <c r="A157" s="10"/>
      <c r="B157" s="16"/>
      <c r="C157" s="18"/>
      <c r="D157" s="10"/>
      <c r="E157" s="62"/>
      <c r="F157" s="41"/>
      <c r="G157" s="233" t="s">
        <v>334</v>
      </c>
      <c r="H157" s="87">
        <v>291880</v>
      </c>
      <c r="I157" s="87" t="s">
        <v>3</v>
      </c>
      <c r="J157" s="87" t="s">
        <v>5</v>
      </c>
      <c r="K157" s="87">
        <v>1</v>
      </c>
      <c r="L157" s="232" t="s">
        <v>335</v>
      </c>
      <c r="M157" s="87"/>
      <c r="N157" s="87"/>
      <c r="O157" s="88"/>
      <c r="P157" s="87"/>
      <c r="Q157" s="88"/>
      <c r="R157" s="91" t="s">
        <v>14</v>
      </c>
      <c r="S157" s="60">
        <v>291880</v>
      </c>
    </row>
    <row r="158" spans="1:19" ht="18" customHeight="1">
      <c r="A158" s="10"/>
      <c r="B158" s="16"/>
      <c r="C158" s="18"/>
      <c r="D158" s="10"/>
      <c r="E158" s="62"/>
      <c r="F158" s="41"/>
      <c r="G158" s="233" t="s">
        <v>359</v>
      </c>
      <c r="H158" s="87">
        <v>321050</v>
      </c>
      <c r="I158" s="236" t="s">
        <v>357</v>
      </c>
      <c r="J158" s="87" t="s">
        <v>5</v>
      </c>
      <c r="K158" s="87">
        <v>1</v>
      </c>
      <c r="L158" s="232" t="s">
        <v>360</v>
      </c>
      <c r="M158" s="87"/>
      <c r="N158" s="87"/>
      <c r="O158" s="88"/>
      <c r="P158" s="87"/>
      <c r="Q158" s="88"/>
      <c r="R158" s="91"/>
      <c r="S158" s="60">
        <v>321050</v>
      </c>
    </row>
    <row r="159" spans="1:19" ht="18" customHeight="1">
      <c r="A159" s="10"/>
      <c r="B159" s="16"/>
      <c r="C159" s="18"/>
      <c r="D159" s="10"/>
      <c r="E159" s="62"/>
      <c r="F159" s="41"/>
      <c r="G159" s="86" t="s">
        <v>159</v>
      </c>
      <c r="H159" s="87"/>
      <c r="I159" s="87"/>
      <c r="J159" s="87"/>
      <c r="K159" s="87"/>
      <c r="L159" s="88"/>
      <c r="M159" s="87"/>
      <c r="N159" s="87"/>
      <c r="O159" s="88"/>
      <c r="P159" s="87"/>
      <c r="Q159" s="88"/>
      <c r="R159" s="91"/>
      <c r="S159" s="89"/>
    </row>
    <row r="160" spans="1:19" ht="18" customHeight="1">
      <c r="A160" s="10"/>
      <c r="B160" s="16"/>
      <c r="C160" s="18"/>
      <c r="D160" s="10"/>
      <c r="E160" s="62"/>
      <c r="F160" s="41"/>
      <c r="G160" s="90" t="s">
        <v>219</v>
      </c>
      <c r="H160" s="87">
        <v>104500</v>
      </c>
      <c r="I160" s="87" t="s">
        <v>3</v>
      </c>
      <c r="J160" s="87" t="s">
        <v>5</v>
      </c>
      <c r="K160" s="87">
        <v>12</v>
      </c>
      <c r="L160" s="88" t="s">
        <v>16</v>
      </c>
      <c r="M160" s="87"/>
      <c r="N160" s="87"/>
      <c r="O160" s="88"/>
      <c r="P160" s="87"/>
      <c r="Q160" s="88"/>
      <c r="R160" s="91" t="s">
        <v>14</v>
      </c>
      <c r="S160" s="60">
        <v>1254000</v>
      </c>
    </row>
    <row r="161" spans="1:19" ht="18" customHeight="1">
      <c r="A161" s="10"/>
      <c r="B161" s="16"/>
      <c r="C161" s="18"/>
      <c r="D161" s="10"/>
      <c r="E161" s="62"/>
      <c r="F161" s="41"/>
      <c r="G161" s="90" t="s">
        <v>220</v>
      </c>
      <c r="H161" s="87">
        <v>81090</v>
      </c>
      <c r="I161" s="87" t="s">
        <v>3</v>
      </c>
      <c r="J161" s="87" t="s">
        <v>5</v>
      </c>
      <c r="K161" s="87">
        <v>12</v>
      </c>
      <c r="L161" s="88" t="s">
        <v>137</v>
      </c>
      <c r="M161" s="87"/>
      <c r="N161" s="87"/>
      <c r="O161" s="88"/>
      <c r="P161" s="87"/>
      <c r="Q161" s="88"/>
      <c r="R161" s="91" t="s">
        <v>14</v>
      </c>
      <c r="S161" s="60">
        <f>250000+723090</f>
        <v>973090</v>
      </c>
    </row>
    <row r="162" spans="1:19" ht="18" customHeight="1">
      <c r="A162" s="10"/>
      <c r="B162" s="16"/>
      <c r="C162" s="18"/>
      <c r="D162" s="10"/>
      <c r="E162" s="62"/>
      <c r="F162" s="41"/>
      <c r="G162" s="90" t="s">
        <v>221</v>
      </c>
      <c r="H162" s="87">
        <v>44000</v>
      </c>
      <c r="I162" s="87" t="s">
        <v>3</v>
      </c>
      <c r="J162" s="87" t="s">
        <v>5</v>
      </c>
      <c r="K162" s="87">
        <v>12</v>
      </c>
      <c r="L162" s="88" t="s">
        <v>16</v>
      </c>
      <c r="M162" s="87"/>
      <c r="N162" s="87"/>
      <c r="O162" s="88"/>
      <c r="P162" s="87"/>
      <c r="Q162" s="88"/>
      <c r="R162" s="91" t="s">
        <v>14</v>
      </c>
      <c r="S162" s="60">
        <v>528000</v>
      </c>
    </row>
    <row r="163" spans="1:19" ht="18" customHeight="1">
      <c r="A163" s="10"/>
      <c r="B163" s="16"/>
      <c r="C163" s="18"/>
      <c r="D163" s="10"/>
      <c r="E163" s="62"/>
      <c r="F163" s="41"/>
      <c r="G163" s="90" t="s">
        <v>222</v>
      </c>
      <c r="H163" s="87">
        <v>89490</v>
      </c>
      <c r="I163" s="87" t="s">
        <v>3</v>
      </c>
      <c r="J163" s="87" t="s">
        <v>5</v>
      </c>
      <c r="K163" s="87">
        <v>12</v>
      </c>
      <c r="L163" s="88" t="s">
        <v>16</v>
      </c>
      <c r="M163" s="87"/>
      <c r="N163" s="87"/>
      <c r="O163" s="88"/>
      <c r="P163" s="87"/>
      <c r="Q163" s="88"/>
      <c r="R163" s="91" t="s">
        <v>14</v>
      </c>
      <c r="S163" s="60">
        <v>1073910</v>
      </c>
    </row>
    <row r="164" spans="1:19" ht="18" customHeight="1">
      <c r="A164" s="10"/>
      <c r="B164" s="16"/>
      <c r="C164" s="18"/>
      <c r="D164" s="10"/>
      <c r="E164" s="62"/>
      <c r="F164" s="41"/>
      <c r="G164" s="233" t="s">
        <v>348</v>
      </c>
      <c r="H164" s="87">
        <v>825000</v>
      </c>
      <c r="I164" s="87" t="s">
        <v>3</v>
      </c>
      <c r="J164" s="87" t="s">
        <v>5</v>
      </c>
      <c r="K164" s="87">
        <v>12</v>
      </c>
      <c r="L164" s="88" t="s">
        <v>16</v>
      </c>
      <c r="M164" s="87"/>
      <c r="N164" s="87"/>
      <c r="O164" s="88"/>
      <c r="P164" s="87"/>
      <c r="Q164" s="88"/>
      <c r="R164" s="91" t="s">
        <v>14</v>
      </c>
      <c r="S164" s="60">
        <v>9900000</v>
      </c>
    </row>
    <row r="165" spans="1:19" ht="18" customHeight="1">
      <c r="A165" s="10"/>
      <c r="B165" s="16"/>
      <c r="C165" s="18"/>
      <c r="D165" s="10"/>
      <c r="E165" s="62"/>
      <c r="F165" s="41"/>
      <c r="G165" s="86" t="s">
        <v>223</v>
      </c>
      <c r="H165" s="87"/>
      <c r="I165" s="87"/>
      <c r="J165" s="87"/>
      <c r="K165" s="87"/>
      <c r="L165" s="88"/>
      <c r="M165" s="87"/>
      <c r="N165" s="87"/>
      <c r="O165" s="88"/>
      <c r="P165" s="87"/>
      <c r="Q165" s="88"/>
      <c r="R165" s="91"/>
      <c r="S165" s="89"/>
    </row>
    <row r="166" spans="1:19" ht="18" customHeight="1">
      <c r="A166" s="10"/>
      <c r="B166" s="16"/>
      <c r="C166" s="18"/>
      <c r="D166" s="10"/>
      <c r="E166" s="62"/>
      <c r="F166" s="41"/>
      <c r="G166" s="90" t="s">
        <v>224</v>
      </c>
      <c r="H166" s="87">
        <v>1621420</v>
      </c>
      <c r="I166" s="87" t="s">
        <v>3</v>
      </c>
      <c r="J166" s="87" t="s">
        <v>5</v>
      </c>
      <c r="K166" s="27">
        <v>2</v>
      </c>
      <c r="L166" s="261" t="s">
        <v>319</v>
      </c>
      <c r="M166" s="28" t="s">
        <v>1</v>
      </c>
      <c r="N166" s="29">
        <v>12</v>
      </c>
      <c r="O166" s="43" t="s">
        <v>2</v>
      </c>
      <c r="P166" s="87"/>
      <c r="Q166" s="88"/>
      <c r="R166" s="91" t="s">
        <v>14</v>
      </c>
      <c r="S166" s="60">
        <v>38914000</v>
      </c>
    </row>
    <row r="167" spans="1:19" ht="18" customHeight="1">
      <c r="A167" s="10"/>
      <c r="B167" s="16"/>
      <c r="C167" s="18"/>
      <c r="D167" s="10"/>
      <c r="E167" s="62"/>
      <c r="F167" s="41"/>
      <c r="G167" s="233" t="s">
        <v>336</v>
      </c>
      <c r="H167" s="87">
        <v>564670</v>
      </c>
      <c r="I167" s="87" t="s">
        <v>3</v>
      </c>
      <c r="J167" s="87" t="s">
        <v>5</v>
      </c>
      <c r="K167" s="87">
        <v>1</v>
      </c>
      <c r="L167" s="232" t="s">
        <v>26</v>
      </c>
      <c r="M167" s="28" t="s">
        <v>1</v>
      </c>
      <c r="N167" s="29">
        <v>12</v>
      </c>
      <c r="O167" s="43" t="s">
        <v>2</v>
      </c>
      <c r="P167" s="87"/>
      <c r="Q167" s="88"/>
      <c r="R167" s="91" t="s">
        <v>14</v>
      </c>
      <c r="S167" s="60">
        <v>6776000</v>
      </c>
    </row>
    <row r="168" spans="1:19" ht="18" customHeight="1">
      <c r="A168" s="10"/>
      <c r="B168" s="16"/>
      <c r="C168" s="18"/>
      <c r="D168" s="10"/>
      <c r="E168" s="62"/>
      <c r="F168" s="41"/>
      <c r="G168" s="233" t="s">
        <v>397</v>
      </c>
      <c r="H168" s="301">
        <v>0</v>
      </c>
      <c r="I168" s="87" t="s">
        <v>3</v>
      </c>
      <c r="J168" s="87" t="s">
        <v>5</v>
      </c>
      <c r="K168" s="87">
        <v>1</v>
      </c>
      <c r="L168" s="232" t="s">
        <v>24</v>
      </c>
      <c r="M168" s="87"/>
      <c r="N168" s="87"/>
      <c r="O168" s="88"/>
      <c r="P168" s="87"/>
      <c r="Q168" s="88"/>
      <c r="R168" s="91" t="s">
        <v>14</v>
      </c>
      <c r="S168" s="60">
        <v>0</v>
      </c>
    </row>
    <row r="169" spans="1:19" ht="18" customHeight="1">
      <c r="A169" s="10"/>
      <c r="B169" s="16"/>
      <c r="C169" s="18"/>
      <c r="D169" s="10"/>
      <c r="E169" s="62"/>
      <c r="F169" s="41"/>
      <c r="G169" s="86" t="s">
        <v>160</v>
      </c>
      <c r="H169" s="301"/>
      <c r="I169" s="87"/>
      <c r="J169" s="87"/>
      <c r="K169" s="87"/>
      <c r="L169" s="88"/>
      <c r="M169" s="87"/>
      <c r="N169" s="87"/>
      <c r="O169" s="88"/>
      <c r="P169" s="87"/>
      <c r="Q169" s="88"/>
      <c r="R169" s="91"/>
      <c r="S169" s="89"/>
    </row>
    <row r="170" spans="1:19" ht="18" customHeight="1">
      <c r="A170" s="10"/>
      <c r="B170" s="16"/>
      <c r="C170" s="18"/>
      <c r="D170" s="10"/>
      <c r="E170" s="62"/>
      <c r="F170" s="41"/>
      <c r="G170" s="233" t="s">
        <v>320</v>
      </c>
      <c r="H170" s="301">
        <v>0</v>
      </c>
      <c r="I170" s="87" t="s">
        <v>3</v>
      </c>
      <c r="J170" s="87" t="s">
        <v>5</v>
      </c>
      <c r="K170" s="87">
        <v>1</v>
      </c>
      <c r="L170" s="232" t="s">
        <v>272</v>
      </c>
      <c r="M170" s="87"/>
      <c r="N170" s="87"/>
      <c r="O170" s="88"/>
      <c r="P170" s="87"/>
      <c r="Q170" s="88"/>
      <c r="R170" s="91" t="s">
        <v>14</v>
      </c>
      <c r="S170" s="60"/>
    </row>
    <row r="171" spans="1:19" ht="18" customHeight="1">
      <c r="A171" s="10"/>
      <c r="B171" s="16"/>
      <c r="C171" s="18"/>
      <c r="D171" s="10"/>
      <c r="E171" s="62"/>
      <c r="F171" s="41"/>
      <c r="G171" s="90" t="s">
        <v>225</v>
      </c>
      <c r="H171" s="301">
        <v>274000</v>
      </c>
      <c r="I171" s="87" t="s">
        <v>3</v>
      </c>
      <c r="J171" s="87" t="s">
        <v>5</v>
      </c>
      <c r="K171" s="87">
        <v>1</v>
      </c>
      <c r="L171" s="232" t="s">
        <v>272</v>
      </c>
      <c r="M171" s="87"/>
      <c r="N171" s="87"/>
      <c r="O171" s="88"/>
      <c r="P171" s="87"/>
      <c r="Q171" s="88"/>
      <c r="R171" s="91" t="s">
        <v>14</v>
      </c>
      <c r="S171" s="60">
        <v>274000</v>
      </c>
    </row>
    <row r="172" spans="1:19" ht="18" customHeight="1">
      <c r="A172" s="10"/>
      <c r="B172" s="16"/>
      <c r="C172" s="18"/>
      <c r="D172" s="10"/>
      <c r="E172" s="62"/>
      <c r="F172" s="41"/>
      <c r="G172" s="92" t="s">
        <v>161</v>
      </c>
      <c r="H172" s="301">
        <v>632000</v>
      </c>
      <c r="I172" s="87" t="s">
        <v>3</v>
      </c>
      <c r="J172" s="87" t="s">
        <v>5</v>
      </c>
      <c r="K172" s="87">
        <v>1</v>
      </c>
      <c r="L172" s="232" t="s">
        <v>321</v>
      </c>
      <c r="M172" s="87"/>
      <c r="N172" s="87"/>
      <c r="O172" s="88"/>
      <c r="P172" s="87"/>
      <c r="Q172" s="88"/>
      <c r="R172" s="91" t="s">
        <v>14</v>
      </c>
      <c r="S172" s="60">
        <v>632000</v>
      </c>
    </row>
    <row r="173" spans="1:19" ht="18" customHeight="1">
      <c r="A173" s="10"/>
      <c r="B173" s="16"/>
      <c r="C173" s="18"/>
      <c r="D173" s="10"/>
      <c r="E173" s="62"/>
      <c r="F173" s="41"/>
      <c r="G173" s="86" t="s">
        <v>352</v>
      </c>
      <c r="H173" s="87"/>
      <c r="I173" s="87"/>
      <c r="J173" s="87"/>
      <c r="K173" s="87"/>
      <c r="L173" s="88"/>
      <c r="M173" s="87"/>
      <c r="N173" s="87"/>
      <c r="O173" s="88"/>
      <c r="P173" s="87"/>
      <c r="Q173" s="88"/>
      <c r="R173" s="91"/>
      <c r="S173" s="89"/>
    </row>
    <row r="174" spans="1:19" ht="18" customHeight="1">
      <c r="A174" s="10"/>
      <c r="B174" s="16"/>
      <c r="C174" s="18"/>
      <c r="D174" s="10"/>
      <c r="E174" s="62"/>
      <c r="F174" s="41"/>
      <c r="G174" s="233" t="s">
        <v>361</v>
      </c>
      <c r="H174" s="87">
        <v>243330</v>
      </c>
      <c r="I174" s="87" t="s">
        <v>3</v>
      </c>
      <c r="J174" s="87" t="s">
        <v>5</v>
      </c>
      <c r="K174" s="87">
        <v>1</v>
      </c>
      <c r="L174" s="232" t="s">
        <v>353</v>
      </c>
      <c r="M174" s="28" t="s">
        <v>1</v>
      </c>
      <c r="N174" s="29">
        <v>12</v>
      </c>
      <c r="O174" s="43" t="s">
        <v>2</v>
      </c>
      <c r="P174" s="87"/>
      <c r="Q174" s="88"/>
      <c r="R174" s="91" t="s">
        <v>14</v>
      </c>
      <c r="S174" s="60">
        <v>2920000</v>
      </c>
    </row>
    <row r="175" spans="1:19" ht="18" customHeight="1">
      <c r="A175" s="10"/>
      <c r="B175" s="16"/>
      <c r="C175" s="18"/>
      <c r="D175" s="10"/>
      <c r="E175" s="62"/>
      <c r="F175" s="41"/>
      <c r="G175" s="233" t="s">
        <v>362</v>
      </c>
      <c r="H175" s="87">
        <v>55000</v>
      </c>
      <c r="I175" s="87" t="s">
        <v>3</v>
      </c>
      <c r="J175" s="87" t="s">
        <v>5</v>
      </c>
      <c r="K175" s="87">
        <v>1</v>
      </c>
      <c r="L175" s="232" t="s">
        <v>353</v>
      </c>
      <c r="M175" s="28" t="s">
        <v>1</v>
      </c>
      <c r="N175" s="29">
        <v>12</v>
      </c>
      <c r="O175" s="43" t="s">
        <v>2</v>
      </c>
      <c r="P175" s="87"/>
      <c r="Q175" s="88"/>
      <c r="R175" s="91" t="s">
        <v>14</v>
      </c>
      <c r="S175" s="60">
        <v>660000</v>
      </c>
    </row>
    <row r="176" spans="1:19" ht="18" customHeight="1">
      <c r="A176" s="10"/>
      <c r="B176" s="16"/>
      <c r="C176" s="18"/>
      <c r="D176" s="10"/>
      <c r="E176" s="62"/>
      <c r="F176" s="41"/>
      <c r="G176" s="86" t="s">
        <v>231</v>
      </c>
      <c r="H176" s="87"/>
      <c r="I176" s="87"/>
      <c r="J176" s="87"/>
      <c r="K176" s="87"/>
      <c r="L176" s="88"/>
      <c r="M176" s="87"/>
      <c r="N176" s="87"/>
      <c r="O176" s="88"/>
      <c r="P176" s="87"/>
      <c r="Q176" s="88"/>
      <c r="R176" s="91"/>
      <c r="S176" s="89"/>
    </row>
    <row r="177" spans="1:19" ht="18" customHeight="1">
      <c r="A177" s="10"/>
      <c r="B177" s="16"/>
      <c r="C177" s="18"/>
      <c r="D177" s="10"/>
      <c r="E177" s="62"/>
      <c r="F177" s="41"/>
      <c r="G177" s="90" t="s">
        <v>162</v>
      </c>
      <c r="H177" s="87">
        <v>791170</v>
      </c>
      <c r="I177" s="87" t="s">
        <v>3</v>
      </c>
      <c r="J177" s="87" t="s">
        <v>5</v>
      </c>
      <c r="K177" s="87">
        <v>12</v>
      </c>
      <c r="L177" s="232" t="s">
        <v>25</v>
      </c>
      <c r="M177" s="87"/>
      <c r="N177" s="87"/>
      <c r="O177" s="88"/>
      <c r="P177" s="87"/>
      <c r="Q177" s="88"/>
      <c r="R177" s="91" t="s">
        <v>14</v>
      </c>
      <c r="S177" s="60">
        <v>9494000</v>
      </c>
    </row>
    <row r="178" spans="1:19" ht="18" customHeight="1">
      <c r="A178" s="10"/>
      <c r="B178" s="16"/>
      <c r="C178" s="18"/>
      <c r="D178" s="10"/>
      <c r="E178" s="62"/>
      <c r="F178" s="41"/>
      <c r="G178" s="233" t="s">
        <v>322</v>
      </c>
      <c r="H178" s="87">
        <v>315000</v>
      </c>
      <c r="I178" s="87" t="s">
        <v>3</v>
      </c>
      <c r="J178" s="87" t="s">
        <v>5</v>
      </c>
      <c r="K178" s="87">
        <v>1</v>
      </c>
      <c r="L178" s="232" t="s">
        <v>272</v>
      </c>
      <c r="M178" s="87"/>
      <c r="N178" s="87"/>
      <c r="O178" s="88"/>
      <c r="P178" s="87"/>
      <c r="Q178" s="88"/>
      <c r="R178" s="91" t="s">
        <v>14</v>
      </c>
      <c r="S178" s="60">
        <v>315000</v>
      </c>
    </row>
    <row r="179" spans="1:19" ht="18" customHeight="1">
      <c r="A179" s="10"/>
      <c r="B179" s="16"/>
      <c r="C179" s="18"/>
      <c r="D179" s="10"/>
      <c r="E179" s="62"/>
      <c r="F179" s="41"/>
      <c r="G179" s="86" t="s">
        <v>163</v>
      </c>
      <c r="H179" s="87"/>
      <c r="I179" s="87"/>
      <c r="J179" s="87"/>
      <c r="K179" s="87"/>
      <c r="L179" s="88"/>
      <c r="M179" s="87"/>
      <c r="N179" s="87"/>
      <c r="O179" s="88"/>
      <c r="P179" s="87"/>
      <c r="Q179" s="88"/>
      <c r="R179" s="91"/>
      <c r="S179" s="89"/>
    </row>
    <row r="180" spans="1:19" ht="18" customHeight="1">
      <c r="A180" s="10"/>
      <c r="B180" s="16"/>
      <c r="C180" s="18"/>
      <c r="D180" s="10"/>
      <c r="E180" s="62"/>
      <c r="F180" s="41"/>
      <c r="G180" s="90" t="s">
        <v>164</v>
      </c>
      <c r="H180" s="87">
        <v>993000</v>
      </c>
      <c r="I180" s="87" t="s">
        <v>3</v>
      </c>
      <c r="J180" s="87" t="s">
        <v>5</v>
      </c>
      <c r="K180" s="87">
        <v>1</v>
      </c>
      <c r="L180" s="232" t="s">
        <v>272</v>
      </c>
      <c r="M180" s="87"/>
      <c r="N180" s="87"/>
      <c r="O180" s="88"/>
      <c r="P180" s="87"/>
      <c r="Q180" s="88"/>
      <c r="R180" s="91" t="s">
        <v>14</v>
      </c>
      <c r="S180" s="60">
        <v>993000</v>
      </c>
    </row>
    <row r="181" spans="1:19" ht="18" customHeight="1">
      <c r="A181" s="33"/>
      <c r="B181" s="21"/>
      <c r="C181" s="319"/>
      <c r="D181" s="33"/>
      <c r="E181" s="64"/>
      <c r="F181" s="39"/>
      <c r="G181" s="320" t="s">
        <v>165</v>
      </c>
      <c r="H181" s="321">
        <v>1056000</v>
      </c>
      <c r="I181" s="321" t="s">
        <v>3</v>
      </c>
      <c r="J181" s="321" t="s">
        <v>5</v>
      </c>
      <c r="K181" s="321">
        <v>1</v>
      </c>
      <c r="L181" s="322" t="s">
        <v>272</v>
      </c>
      <c r="M181" s="321"/>
      <c r="N181" s="321"/>
      <c r="O181" s="323"/>
      <c r="P181" s="321"/>
      <c r="Q181" s="323"/>
      <c r="R181" s="324" t="s">
        <v>14</v>
      </c>
      <c r="S181" s="325">
        <v>1056000</v>
      </c>
    </row>
    <row r="182" spans="1:19" ht="18" customHeight="1">
      <c r="A182" s="10"/>
      <c r="B182" s="16"/>
      <c r="C182" s="18"/>
      <c r="D182" s="10"/>
      <c r="E182" s="62"/>
      <c r="F182" s="41"/>
      <c r="G182" s="86" t="s">
        <v>349</v>
      </c>
      <c r="H182" s="87"/>
      <c r="I182" s="87"/>
      <c r="J182" s="87"/>
      <c r="K182" s="87"/>
      <c r="L182" s="88"/>
      <c r="M182" s="87"/>
      <c r="N182" s="87"/>
      <c r="O182" s="88"/>
      <c r="P182" s="87"/>
      <c r="Q182" s="88"/>
      <c r="R182" s="91"/>
      <c r="S182" s="60"/>
    </row>
    <row r="183" spans="1:19" ht="18" customHeight="1">
      <c r="A183" s="10"/>
      <c r="B183" s="16"/>
      <c r="C183" s="18"/>
      <c r="D183" s="10"/>
      <c r="E183" s="62"/>
      <c r="F183" s="41"/>
      <c r="G183" s="233" t="s">
        <v>404</v>
      </c>
      <c r="H183" s="87">
        <v>229330</v>
      </c>
      <c r="I183" s="87" t="s">
        <v>21</v>
      </c>
      <c r="J183" s="87" t="s">
        <v>28</v>
      </c>
      <c r="K183" s="87">
        <v>12</v>
      </c>
      <c r="L183" s="88" t="s">
        <v>25</v>
      </c>
      <c r="M183" s="87"/>
      <c r="N183" s="87"/>
      <c r="O183" s="88"/>
      <c r="P183" s="87"/>
      <c r="Q183" s="88"/>
      <c r="R183" s="91" t="s">
        <v>14</v>
      </c>
      <c r="S183" s="60">
        <v>2752000</v>
      </c>
    </row>
    <row r="184" spans="1:19" ht="18" customHeight="1">
      <c r="A184" s="10"/>
      <c r="B184" s="16"/>
      <c r="C184" s="18"/>
      <c r="D184" s="10"/>
      <c r="E184" s="62"/>
      <c r="F184" s="41"/>
      <c r="G184" s="233" t="s">
        <v>405</v>
      </c>
      <c r="H184" s="87">
        <v>239000</v>
      </c>
      <c r="I184" s="87" t="s">
        <v>21</v>
      </c>
      <c r="J184" s="87" t="s">
        <v>28</v>
      </c>
      <c r="K184" s="87">
        <v>9</v>
      </c>
      <c r="L184" s="232" t="s">
        <v>406</v>
      </c>
      <c r="M184" s="87"/>
      <c r="N184" s="87"/>
      <c r="O184" s="88"/>
      <c r="P184" s="87"/>
      <c r="Q184" s="88"/>
      <c r="R184" s="91" t="s">
        <v>14</v>
      </c>
      <c r="S184" s="60">
        <v>2151000</v>
      </c>
    </row>
    <row r="185" spans="1:19" ht="18" customHeight="1">
      <c r="A185" s="10"/>
      <c r="B185" s="16"/>
      <c r="C185" s="18"/>
      <c r="D185" s="10"/>
      <c r="E185" s="62"/>
      <c r="F185" s="41"/>
      <c r="G185" s="86" t="s">
        <v>167</v>
      </c>
      <c r="H185" s="87"/>
      <c r="I185" s="87"/>
      <c r="J185" s="87"/>
      <c r="K185" s="87"/>
      <c r="L185" s="88"/>
      <c r="M185" s="87"/>
      <c r="N185" s="87"/>
      <c r="O185" s="88"/>
      <c r="P185" s="87"/>
      <c r="Q185" s="88"/>
      <c r="R185" s="91"/>
      <c r="S185" s="89"/>
    </row>
    <row r="186" spans="1:19" ht="18" customHeight="1">
      <c r="A186" s="10"/>
      <c r="B186" s="16"/>
      <c r="C186" s="18"/>
      <c r="D186" s="10"/>
      <c r="E186" s="62"/>
      <c r="F186" s="41"/>
      <c r="G186" s="90" t="s">
        <v>226</v>
      </c>
      <c r="H186" s="87">
        <v>950000</v>
      </c>
      <c r="I186" s="87" t="s">
        <v>3</v>
      </c>
      <c r="J186" s="87" t="s">
        <v>5</v>
      </c>
      <c r="K186" s="87">
        <v>1</v>
      </c>
      <c r="L186" s="232" t="s">
        <v>24</v>
      </c>
      <c r="M186" s="87"/>
      <c r="N186" s="87"/>
      <c r="O186" s="88"/>
      <c r="P186" s="87"/>
      <c r="Q186" s="88"/>
      <c r="R186" s="91" t="s">
        <v>14</v>
      </c>
      <c r="S186" s="60">
        <v>950000</v>
      </c>
    </row>
    <row r="187" spans="1:19" ht="18" customHeight="1">
      <c r="A187" s="10"/>
      <c r="B187" s="16"/>
      <c r="C187" s="18"/>
      <c r="D187" s="10"/>
      <c r="E187" s="62"/>
      <c r="F187" s="41"/>
      <c r="G187" s="90" t="s">
        <v>227</v>
      </c>
      <c r="H187" s="87">
        <v>200000</v>
      </c>
      <c r="I187" s="87" t="s">
        <v>3</v>
      </c>
      <c r="J187" s="87" t="s">
        <v>5</v>
      </c>
      <c r="K187" s="87">
        <v>1</v>
      </c>
      <c r="L187" s="88" t="s">
        <v>16</v>
      </c>
      <c r="M187" s="87"/>
      <c r="N187" s="87"/>
      <c r="O187" s="88"/>
      <c r="P187" s="87"/>
      <c r="Q187" s="88"/>
      <c r="R187" s="91" t="s">
        <v>14</v>
      </c>
      <c r="S187" s="60">
        <v>200000</v>
      </c>
    </row>
    <row r="188" spans="1:19" ht="18" customHeight="1">
      <c r="A188" s="10"/>
      <c r="B188" s="16"/>
      <c r="C188" s="18"/>
      <c r="D188" s="10"/>
      <c r="E188" s="62"/>
      <c r="F188" s="41"/>
      <c r="G188" s="90" t="s">
        <v>168</v>
      </c>
      <c r="H188" s="87">
        <v>50000</v>
      </c>
      <c r="I188" s="87" t="s">
        <v>3</v>
      </c>
      <c r="J188" s="87" t="s">
        <v>5</v>
      </c>
      <c r="K188" s="87">
        <v>1</v>
      </c>
      <c r="L188" s="88" t="s">
        <v>16</v>
      </c>
      <c r="M188" s="87"/>
      <c r="N188" s="87"/>
      <c r="O188" s="88"/>
      <c r="P188" s="87"/>
      <c r="Q188" s="88"/>
      <c r="R188" s="91" t="s">
        <v>14</v>
      </c>
      <c r="S188" s="60">
        <v>50000</v>
      </c>
    </row>
    <row r="189" spans="1:19" ht="18" customHeight="1">
      <c r="A189" s="10"/>
      <c r="B189" s="16"/>
      <c r="C189" s="18"/>
      <c r="D189" s="10"/>
      <c r="E189" s="62"/>
      <c r="F189" s="41"/>
      <c r="G189" s="90" t="s">
        <v>169</v>
      </c>
      <c r="H189" s="87">
        <v>0</v>
      </c>
      <c r="I189" s="87" t="s">
        <v>3</v>
      </c>
      <c r="J189" s="87" t="s">
        <v>5</v>
      </c>
      <c r="K189" s="87">
        <v>18</v>
      </c>
      <c r="L189" s="88" t="s">
        <v>26</v>
      </c>
      <c r="M189" s="28" t="s">
        <v>1</v>
      </c>
      <c r="N189" s="29">
        <v>2</v>
      </c>
      <c r="O189" s="43" t="s">
        <v>2</v>
      </c>
      <c r="P189" s="87"/>
      <c r="Q189" s="88"/>
      <c r="R189" s="91" t="s">
        <v>14</v>
      </c>
      <c r="S189" s="60"/>
    </row>
    <row r="190" spans="1:19" ht="18" customHeight="1">
      <c r="A190" s="10"/>
      <c r="B190" s="16"/>
      <c r="C190" s="18"/>
      <c r="D190" s="10"/>
      <c r="E190" s="62"/>
      <c r="F190" s="41"/>
      <c r="G190" s="233" t="s">
        <v>337</v>
      </c>
      <c r="H190" s="87">
        <v>480000</v>
      </c>
      <c r="I190" s="87" t="s">
        <v>3</v>
      </c>
      <c r="J190" s="87" t="s">
        <v>5</v>
      </c>
      <c r="K190" s="87">
        <v>1</v>
      </c>
      <c r="L190" s="232" t="s">
        <v>335</v>
      </c>
      <c r="M190" s="28"/>
      <c r="N190" s="29"/>
      <c r="O190" s="43"/>
      <c r="P190" s="87"/>
      <c r="Q190" s="88"/>
      <c r="R190" s="91" t="s">
        <v>14</v>
      </c>
      <c r="S190" s="60">
        <v>480000</v>
      </c>
    </row>
    <row r="191" spans="1:19" ht="18" customHeight="1">
      <c r="A191" s="10"/>
      <c r="B191" s="16"/>
      <c r="C191" s="18"/>
      <c r="D191" s="10"/>
      <c r="E191" s="62"/>
      <c r="F191" s="41"/>
      <c r="G191" s="86" t="s">
        <v>170</v>
      </c>
      <c r="H191" s="87">
        <v>160080</v>
      </c>
      <c r="I191" s="87" t="s">
        <v>21</v>
      </c>
      <c r="J191" s="87" t="s">
        <v>166</v>
      </c>
      <c r="K191" s="87">
        <v>12</v>
      </c>
      <c r="L191" s="88" t="s">
        <v>137</v>
      </c>
      <c r="M191" s="87"/>
      <c r="N191" s="87"/>
      <c r="O191" s="203"/>
      <c r="P191" s="202"/>
      <c r="Q191" s="203"/>
      <c r="R191" s="204"/>
      <c r="S191" s="60">
        <v>1921000</v>
      </c>
    </row>
    <row r="192" spans="1:19" ht="18" customHeight="1">
      <c r="A192" s="10"/>
      <c r="B192" s="16"/>
      <c r="C192" s="18"/>
      <c r="D192" s="10"/>
      <c r="E192" s="62"/>
      <c r="F192" s="41"/>
      <c r="G192" s="86" t="s">
        <v>171</v>
      </c>
      <c r="H192" s="87">
        <v>1000000</v>
      </c>
      <c r="I192" s="87" t="s">
        <v>21</v>
      </c>
      <c r="J192" s="87" t="s">
        <v>166</v>
      </c>
      <c r="K192" s="87">
        <v>1</v>
      </c>
      <c r="L192" s="88" t="s">
        <v>272</v>
      </c>
      <c r="M192" s="87"/>
      <c r="N192" s="87"/>
      <c r="O192" s="203"/>
      <c r="P192" s="202"/>
      <c r="Q192" s="203"/>
      <c r="R192" s="204"/>
      <c r="S192" s="60">
        <v>1000000</v>
      </c>
    </row>
    <row r="193" spans="1:19" ht="18" customHeight="1">
      <c r="A193" s="10"/>
      <c r="B193" s="16"/>
      <c r="C193" s="18"/>
      <c r="D193" s="10"/>
      <c r="E193" s="62"/>
      <c r="F193" s="41"/>
      <c r="G193" s="86" t="s">
        <v>172</v>
      </c>
      <c r="H193" s="87"/>
      <c r="I193" s="87"/>
      <c r="J193" s="87"/>
      <c r="K193" s="87"/>
      <c r="L193" s="88"/>
      <c r="M193" s="87"/>
      <c r="N193" s="87"/>
      <c r="O193" s="88"/>
      <c r="P193" s="87"/>
      <c r="Q193" s="88"/>
      <c r="R193" s="91"/>
      <c r="S193" s="89"/>
    </row>
    <row r="194" spans="1:19" ht="18" customHeight="1">
      <c r="A194" s="10"/>
      <c r="B194" s="16"/>
      <c r="C194" s="18"/>
      <c r="D194" s="10"/>
      <c r="E194" s="62"/>
      <c r="F194" s="41"/>
      <c r="G194" s="90" t="s">
        <v>228</v>
      </c>
      <c r="H194" s="87">
        <v>2742000</v>
      </c>
      <c r="I194" s="87" t="s">
        <v>3</v>
      </c>
      <c r="J194" s="87" t="s">
        <v>5</v>
      </c>
      <c r="K194" s="87">
        <v>1</v>
      </c>
      <c r="L194" s="232" t="s">
        <v>272</v>
      </c>
      <c r="M194" s="87"/>
      <c r="N194" s="87"/>
      <c r="O194" s="88"/>
      <c r="P194" s="87"/>
      <c r="Q194" s="88"/>
      <c r="R194" s="91" t="s">
        <v>14</v>
      </c>
      <c r="S194" s="60">
        <v>2742000</v>
      </c>
    </row>
    <row r="195" spans="1:19" ht="18" customHeight="1">
      <c r="A195" s="10"/>
      <c r="B195" s="16"/>
      <c r="C195" s="18"/>
      <c r="D195" s="10"/>
      <c r="E195" s="62"/>
      <c r="F195" s="41"/>
      <c r="G195" s="90" t="s">
        <v>173</v>
      </c>
      <c r="H195" s="87">
        <v>500000</v>
      </c>
      <c r="I195" s="87" t="s">
        <v>3</v>
      </c>
      <c r="J195" s="87" t="s">
        <v>5</v>
      </c>
      <c r="K195" s="87">
        <v>2</v>
      </c>
      <c r="L195" s="88" t="s">
        <v>24</v>
      </c>
      <c r="M195" s="87"/>
      <c r="N195" s="87"/>
      <c r="O195" s="88"/>
      <c r="P195" s="87"/>
      <c r="Q195" s="88"/>
      <c r="R195" s="91" t="s">
        <v>14</v>
      </c>
      <c r="S195" s="60">
        <v>1000000</v>
      </c>
    </row>
    <row r="196" spans="1:19" ht="18" customHeight="1">
      <c r="A196" s="10"/>
      <c r="B196" s="16"/>
      <c r="C196" s="18"/>
      <c r="D196" s="10"/>
      <c r="E196" s="62"/>
      <c r="F196" s="41"/>
      <c r="G196" s="233" t="s">
        <v>398</v>
      </c>
      <c r="H196" s="87">
        <v>1810000</v>
      </c>
      <c r="I196" s="87" t="s">
        <v>3</v>
      </c>
      <c r="J196" s="87" t="s">
        <v>5</v>
      </c>
      <c r="K196" s="87">
        <v>1</v>
      </c>
      <c r="L196" s="88" t="s">
        <v>24</v>
      </c>
      <c r="M196" s="87"/>
      <c r="N196" s="87"/>
      <c r="O196" s="88"/>
      <c r="P196" s="87"/>
      <c r="Q196" s="88"/>
      <c r="R196" s="91" t="s">
        <v>14</v>
      </c>
      <c r="S196" s="60">
        <v>1810000</v>
      </c>
    </row>
    <row r="197" spans="1:19" ht="18" customHeight="1">
      <c r="A197" s="10"/>
      <c r="B197" s="16"/>
      <c r="C197" s="18"/>
      <c r="D197" s="10"/>
      <c r="E197" s="62"/>
      <c r="F197" s="41"/>
      <c r="G197" s="90" t="s">
        <v>229</v>
      </c>
      <c r="H197" s="87">
        <v>1951000</v>
      </c>
      <c r="I197" s="87" t="s">
        <v>3</v>
      </c>
      <c r="J197" s="87" t="s">
        <v>5</v>
      </c>
      <c r="K197" s="199">
        <v>1</v>
      </c>
      <c r="L197" s="232" t="s">
        <v>24</v>
      </c>
      <c r="M197" s="236" t="s">
        <v>323</v>
      </c>
      <c r="N197" s="87"/>
      <c r="O197" s="88"/>
      <c r="P197" s="87"/>
      <c r="Q197" s="88"/>
      <c r="R197" s="91" t="s">
        <v>14</v>
      </c>
      <c r="S197" s="60">
        <v>1951000</v>
      </c>
    </row>
    <row r="198" spans="1:19" ht="18" customHeight="1">
      <c r="A198" s="10"/>
      <c r="B198" s="16"/>
      <c r="C198" s="18"/>
      <c r="D198" s="10"/>
      <c r="E198" s="62"/>
      <c r="F198" s="41"/>
      <c r="G198" s="86" t="s">
        <v>174</v>
      </c>
      <c r="H198" s="87">
        <v>68000</v>
      </c>
      <c r="I198" s="87" t="s">
        <v>3</v>
      </c>
      <c r="J198" s="87" t="s">
        <v>5</v>
      </c>
      <c r="K198" s="87">
        <v>1</v>
      </c>
      <c r="L198" s="232" t="s">
        <v>335</v>
      </c>
      <c r="M198" s="202"/>
      <c r="O198" s="2"/>
      <c r="P198" s="202"/>
      <c r="Q198" s="203"/>
      <c r="R198" s="204" t="s">
        <v>14</v>
      </c>
      <c r="S198" s="60">
        <v>68000</v>
      </c>
    </row>
    <row r="199" spans="1:19" ht="18" customHeight="1">
      <c r="A199" s="10"/>
      <c r="B199" s="16"/>
      <c r="C199" s="18"/>
      <c r="D199" s="10"/>
      <c r="E199" s="62"/>
      <c r="F199" s="41"/>
      <c r="G199" s="86" t="s">
        <v>175</v>
      </c>
      <c r="H199" s="87">
        <v>354920</v>
      </c>
      <c r="I199" s="87" t="s">
        <v>3</v>
      </c>
      <c r="J199" s="87" t="s">
        <v>5</v>
      </c>
      <c r="K199" s="87">
        <v>12</v>
      </c>
      <c r="L199" s="232" t="s">
        <v>25</v>
      </c>
      <c r="M199" s="202"/>
      <c r="O199" s="2"/>
      <c r="P199" s="202"/>
      <c r="Q199" s="203"/>
      <c r="R199" s="204" t="s">
        <v>14</v>
      </c>
      <c r="S199" s="60">
        <v>4259000</v>
      </c>
    </row>
    <row r="200" spans="1:19" ht="18" customHeight="1">
      <c r="A200" s="10"/>
      <c r="B200" s="16"/>
      <c r="C200" s="18"/>
      <c r="D200" s="10"/>
      <c r="E200" s="62"/>
      <c r="F200" s="41"/>
      <c r="G200" s="86" t="s">
        <v>176</v>
      </c>
      <c r="H200" s="87"/>
      <c r="I200" s="87"/>
      <c r="J200" s="87"/>
      <c r="K200" s="87"/>
      <c r="L200" s="88"/>
      <c r="M200" s="87"/>
      <c r="N200" s="87"/>
      <c r="O200" s="88"/>
      <c r="P200" s="87"/>
      <c r="Q200" s="88"/>
      <c r="R200" s="91"/>
      <c r="S200" s="89"/>
    </row>
    <row r="201" spans="1:19" ht="18" customHeight="1">
      <c r="A201" s="10"/>
      <c r="B201" s="16"/>
      <c r="C201" s="18"/>
      <c r="D201" s="10"/>
      <c r="E201" s="62"/>
      <c r="F201" s="41"/>
      <c r="G201" s="233" t="s">
        <v>449</v>
      </c>
      <c r="H201" s="87">
        <v>3000000</v>
      </c>
      <c r="I201" s="236" t="s">
        <v>21</v>
      </c>
      <c r="J201" s="87" t="s">
        <v>5</v>
      </c>
      <c r="K201" s="87">
        <v>1</v>
      </c>
      <c r="L201" s="88" t="s">
        <v>24</v>
      </c>
      <c r="M201" s="87"/>
      <c r="N201" s="87"/>
      <c r="O201" s="88"/>
      <c r="P201" s="87"/>
      <c r="Q201" s="88"/>
      <c r="R201" s="201" t="s">
        <v>14</v>
      </c>
      <c r="S201" s="60">
        <v>3000000</v>
      </c>
    </row>
    <row r="202" spans="1:19" ht="18" customHeight="1">
      <c r="A202" s="10"/>
      <c r="B202" s="16"/>
      <c r="C202" s="18"/>
      <c r="D202" s="10"/>
      <c r="E202" s="62"/>
      <c r="F202" s="41"/>
      <c r="G202" s="233" t="s">
        <v>411</v>
      </c>
      <c r="H202" s="87">
        <v>9367670</v>
      </c>
      <c r="I202" s="236" t="s">
        <v>21</v>
      </c>
      <c r="J202" s="87" t="s">
        <v>5</v>
      </c>
      <c r="K202" s="87">
        <v>12</v>
      </c>
      <c r="L202" s="232" t="s">
        <v>25</v>
      </c>
      <c r="M202" s="87"/>
      <c r="N202" s="87"/>
      <c r="O202" s="88"/>
      <c r="P202" s="87"/>
      <c r="Q202" s="88"/>
      <c r="R202" s="201" t="s">
        <v>14</v>
      </c>
      <c r="S202" s="60">
        <f>112404120+1880+6000</f>
        <v>112412000</v>
      </c>
    </row>
    <row r="203" spans="1:19" ht="18" customHeight="1">
      <c r="A203" s="10"/>
      <c r="B203" s="16"/>
      <c r="C203" s="18"/>
      <c r="D203" s="10"/>
      <c r="E203" s="62"/>
      <c r="F203" s="41"/>
      <c r="G203" s="233" t="s">
        <v>450</v>
      </c>
      <c r="H203" s="87">
        <v>141000</v>
      </c>
      <c r="I203" s="236" t="s">
        <v>21</v>
      </c>
      <c r="J203" s="87" t="s">
        <v>5</v>
      </c>
      <c r="K203" s="87">
        <v>12</v>
      </c>
      <c r="L203" s="232" t="s">
        <v>25</v>
      </c>
      <c r="M203" s="87"/>
      <c r="N203" s="87"/>
      <c r="O203" s="88"/>
      <c r="P203" s="87"/>
      <c r="Q203" s="88"/>
      <c r="R203" s="201" t="s">
        <v>14</v>
      </c>
      <c r="S203" s="60">
        <v>1692000</v>
      </c>
    </row>
    <row r="204" spans="1:19" ht="18" customHeight="1">
      <c r="A204" s="10"/>
      <c r="B204" s="16"/>
      <c r="C204" s="18"/>
      <c r="D204" s="10"/>
      <c r="E204" s="62"/>
      <c r="F204" s="41"/>
      <c r="G204" s="233" t="s">
        <v>451</v>
      </c>
      <c r="H204" s="87">
        <v>5000000</v>
      </c>
      <c r="I204" s="236" t="s">
        <v>21</v>
      </c>
      <c r="J204" s="87" t="s">
        <v>5</v>
      </c>
      <c r="K204" s="87">
        <v>1</v>
      </c>
      <c r="L204" s="232" t="s">
        <v>25</v>
      </c>
      <c r="M204" s="87"/>
      <c r="N204" s="87"/>
      <c r="O204" s="88"/>
      <c r="P204" s="87"/>
      <c r="Q204" s="88"/>
      <c r="R204" s="201" t="s">
        <v>14</v>
      </c>
      <c r="S204" s="60">
        <v>5000000</v>
      </c>
    </row>
    <row r="205" spans="1:19" ht="18" customHeight="1">
      <c r="A205" s="10"/>
      <c r="B205" s="16"/>
      <c r="C205" s="18"/>
      <c r="D205" s="10"/>
      <c r="E205" s="62"/>
      <c r="F205" s="41"/>
      <c r="G205" s="233" t="s">
        <v>324</v>
      </c>
      <c r="H205" s="199">
        <v>6500000</v>
      </c>
      <c r="I205" s="199" t="s">
        <v>3</v>
      </c>
      <c r="J205" s="199" t="s">
        <v>5</v>
      </c>
      <c r="K205" s="199">
        <v>12</v>
      </c>
      <c r="L205" s="232" t="s">
        <v>25</v>
      </c>
      <c r="M205" s="236" t="s">
        <v>95</v>
      </c>
      <c r="N205" s="236" t="s">
        <v>95</v>
      </c>
      <c r="O205" s="232" t="s">
        <v>95</v>
      </c>
      <c r="P205" s="199"/>
      <c r="Q205" s="200"/>
      <c r="R205" s="201" t="s">
        <v>14</v>
      </c>
      <c r="S205" s="93">
        <v>78000000</v>
      </c>
    </row>
    <row r="206" spans="1:19" ht="18" customHeight="1">
      <c r="A206" s="10"/>
      <c r="B206" s="16"/>
      <c r="C206" s="18"/>
      <c r="D206" s="10"/>
      <c r="E206" s="62"/>
      <c r="F206" s="41"/>
      <c r="G206" s="233" t="s">
        <v>399</v>
      </c>
      <c r="H206" s="87">
        <v>2000000</v>
      </c>
      <c r="I206" s="236" t="s">
        <v>21</v>
      </c>
      <c r="J206" s="87" t="s">
        <v>5</v>
      </c>
      <c r="K206" s="87">
        <v>1</v>
      </c>
      <c r="L206" s="88" t="s">
        <v>24</v>
      </c>
      <c r="M206" s="87"/>
      <c r="N206" s="87"/>
      <c r="O206" s="88"/>
      <c r="P206" s="87"/>
      <c r="Q206" s="88"/>
      <c r="R206" s="201" t="s">
        <v>14</v>
      </c>
      <c r="S206" s="60">
        <v>2000000</v>
      </c>
    </row>
    <row r="207" spans="1:19" ht="18.75" customHeight="1">
      <c r="A207" s="10"/>
      <c r="B207" s="16"/>
      <c r="C207" s="18"/>
      <c r="D207" s="10"/>
      <c r="E207" s="62"/>
      <c r="F207" s="41"/>
      <c r="G207" s="86" t="s">
        <v>177</v>
      </c>
      <c r="H207" s="87">
        <v>48920</v>
      </c>
      <c r="I207" s="87" t="s">
        <v>3</v>
      </c>
      <c r="J207" s="87" t="s">
        <v>5</v>
      </c>
      <c r="K207" s="87">
        <v>12</v>
      </c>
      <c r="L207" s="88" t="s">
        <v>137</v>
      </c>
      <c r="M207" s="202"/>
      <c r="O207" s="2"/>
      <c r="P207" s="202"/>
      <c r="Q207" s="203"/>
      <c r="R207" s="204" t="s">
        <v>14</v>
      </c>
      <c r="S207" s="60">
        <v>587000</v>
      </c>
    </row>
    <row r="208" spans="1:19" ht="18" customHeight="1">
      <c r="A208" s="10"/>
      <c r="B208" s="16"/>
      <c r="C208" s="18"/>
      <c r="D208" s="10"/>
      <c r="E208" s="62"/>
      <c r="F208" s="41"/>
      <c r="G208" s="86" t="s">
        <v>178</v>
      </c>
      <c r="H208" s="87"/>
      <c r="I208" s="87"/>
      <c r="J208" s="87"/>
      <c r="K208" s="87"/>
      <c r="L208" s="88"/>
      <c r="M208" s="87"/>
      <c r="N208" s="87"/>
      <c r="O208" s="88"/>
      <c r="P208" s="87"/>
      <c r="Q208" s="88"/>
      <c r="R208" s="91"/>
      <c r="S208" s="89"/>
    </row>
    <row r="209" spans="1:19" ht="18" customHeight="1">
      <c r="A209" s="10"/>
      <c r="B209" s="16"/>
      <c r="C209" s="18"/>
      <c r="D209" s="10"/>
      <c r="E209" s="62"/>
      <c r="F209" s="41"/>
      <c r="G209" s="90" t="s">
        <v>179</v>
      </c>
      <c r="H209" s="87">
        <v>400000</v>
      </c>
      <c r="I209" s="87" t="s">
        <v>3</v>
      </c>
      <c r="J209" s="87" t="s">
        <v>5</v>
      </c>
      <c r="K209" s="87">
        <v>1</v>
      </c>
      <c r="L209" s="232" t="s">
        <v>24</v>
      </c>
      <c r="M209" s="87"/>
      <c r="N209" s="87"/>
      <c r="O209" s="88"/>
      <c r="P209" s="87"/>
      <c r="Q209" s="88"/>
      <c r="R209" s="91" t="s">
        <v>14</v>
      </c>
      <c r="S209" s="60">
        <v>400000</v>
      </c>
    </row>
    <row r="210" spans="1:19" ht="18" customHeight="1">
      <c r="A210" s="10"/>
      <c r="B210" s="16"/>
      <c r="C210" s="18"/>
      <c r="D210" s="10"/>
      <c r="E210" s="62"/>
      <c r="F210" s="41"/>
      <c r="G210" s="90" t="s">
        <v>180</v>
      </c>
      <c r="H210" s="87">
        <v>412000</v>
      </c>
      <c r="I210" s="87" t="s">
        <v>3</v>
      </c>
      <c r="J210" s="199" t="s">
        <v>5</v>
      </c>
      <c r="K210" s="87">
        <v>1</v>
      </c>
      <c r="L210" s="232" t="s">
        <v>272</v>
      </c>
      <c r="M210" s="87"/>
      <c r="N210" s="87"/>
      <c r="O210" s="88"/>
      <c r="P210" s="87"/>
      <c r="Q210" s="88"/>
      <c r="R210" s="91" t="s">
        <v>14</v>
      </c>
      <c r="S210" s="60">
        <v>412000</v>
      </c>
    </row>
    <row r="211" spans="1:19" ht="18" customHeight="1">
      <c r="A211" s="10"/>
      <c r="B211" s="16"/>
      <c r="C211" s="18"/>
      <c r="D211" s="10"/>
      <c r="E211" s="62"/>
      <c r="F211" s="41"/>
      <c r="G211" s="233" t="s">
        <v>410</v>
      </c>
      <c r="H211" s="2">
        <v>0</v>
      </c>
      <c r="I211" s="270" t="s">
        <v>409</v>
      </c>
      <c r="J211" s="87" t="s">
        <v>5</v>
      </c>
      <c r="K211" s="87">
        <v>1</v>
      </c>
      <c r="L211" s="311" t="s">
        <v>24</v>
      </c>
      <c r="R211" s="270" t="s">
        <v>18</v>
      </c>
      <c r="S211" s="257"/>
    </row>
    <row r="212" spans="1:19" ht="18" customHeight="1">
      <c r="A212" s="10"/>
      <c r="B212" s="16"/>
      <c r="C212" s="18"/>
      <c r="D212" s="10"/>
      <c r="E212" s="62"/>
      <c r="F212" s="41"/>
      <c r="G212" s="86" t="s">
        <v>325</v>
      </c>
      <c r="H212" s="87"/>
      <c r="I212" s="87"/>
      <c r="J212" s="87"/>
      <c r="K212" s="87"/>
      <c r="L212" s="88"/>
      <c r="M212" s="87"/>
      <c r="N212" s="87"/>
      <c r="O212" s="88"/>
      <c r="P212" s="87"/>
      <c r="Q212" s="88"/>
      <c r="R212" s="91"/>
      <c r="S212" s="89"/>
    </row>
    <row r="213" spans="1:19" ht="18" customHeight="1">
      <c r="A213" s="10"/>
      <c r="B213" s="16"/>
      <c r="C213" s="18"/>
      <c r="D213" s="10"/>
      <c r="E213" s="62"/>
      <c r="F213" s="41"/>
      <c r="G213" s="233" t="s">
        <v>408</v>
      </c>
      <c r="H213" s="87">
        <v>0</v>
      </c>
      <c r="I213" s="87" t="s">
        <v>3</v>
      </c>
      <c r="J213" s="87" t="s">
        <v>5</v>
      </c>
      <c r="K213" s="87">
        <v>1</v>
      </c>
      <c r="L213" s="232" t="s">
        <v>407</v>
      </c>
      <c r="M213" s="87"/>
      <c r="N213" s="87"/>
      <c r="O213" s="88"/>
      <c r="P213" s="87"/>
      <c r="Q213" s="88"/>
      <c r="R213" s="91" t="s">
        <v>14</v>
      </c>
      <c r="S213" s="60"/>
    </row>
    <row r="214" spans="1:19" ht="18" customHeight="1">
      <c r="A214" s="10"/>
      <c r="B214" s="16"/>
      <c r="C214" s="18"/>
      <c r="D214" s="10"/>
      <c r="E214" s="62"/>
      <c r="F214" s="41"/>
      <c r="G214" s="233"/>
      <c r="H214" s="87"/>
      <c r="I214" s="87"/>
      <c r="J214" s="87"/>
      <c r="K214" s="87"/>
      <c r="L214" s="232"/>
      <c r="M214" s="87"/>
      <c r="N214" s="87"/>
      <c r="O214" s="88"/>
      <c r="P214" s="87"/>
      <c r="Q214" s="88"/>
      <c r="R214" s="91"/>
      <c r="S214" s="60"/>
    </row>
    <row r="215" spans="1:19" ht="18" customHeight="1">
      <c r="A215" s="10"/>
      <c r="B215" s="16"/>
      <c r="C215" s="18"/>
      <c r="D215" s="10"/>
      <c r="E215" s="62"/>
      <c r="F215" s="41"/>
      <c r="G215" s="380" t="s">
        <v>27</v>
      </c>
      <c r="H215" s="380"/>
      <c r="I215" s="380"/>
      <c r="J215" s="380"/>
      <c r="K215" s="380"/>
      <c r="L215" s="380"/>
      <c r="M215" s="380"/>
      <c r="N215" s="380"/>
      <c r="O215" s="380"/>
      <c r="P215" s="380"/>
      <c r="Q215" s="380"/>
      <c r="R215" s="380"/>
      <c r="S215" s="122">
        <f>SUM(S141:S214)</f>
        <v>308361000</v>
      </c>
    </row>
    <row r="216" spans="1:19" ht="6.75" customHeight="1">
      <c r="A216" s="10"/>
      <c r="B216" s="16"/>
      <c r="C216" s="273"/>
      <c r="D216" s="10"/>
      <c r="E216" s="16"/>
      <c r="F216" s="41"/>
      <c r="G216" s="96"/>
      <c r="H216" s="97"/>
      <c r="I216" s="97"/>
      <c r="J216" s="97"/>
      <c r="K216" s="97"/>
      <c r="L216" s="98"/>
      <c r="M216" s="97"/>
      <c r="N216" s="97"/>
      <c r="O216" s="98"/>
      <c r="P216" s="97"/>
      <c r="Q216" s="98"/>
      <c r="R216" s="97"/>
      <c r="S216" s="99"/>
    </row>
    <row r="217" spans="1:19" ht="18" customHeight="1">
      <c r="A217" s="10"/>
      <c r="B217" s="16"/>
      <c r="C217" s="36"/>
      <c r="D217" s="10"/>
      <c r="E217" s="62"/>
      <c r="F217" s="41"/>
      <c r="G217" s="86" t="s">
        <v>181</v>
      </c>
      <c r="H217" s="87"/>
      <c r="I217" s="87"/>
      <c r="J217" s="87"/>
      <c r="K217" s="87"/>
      <c r="L217" s="88"/>
      <c r="M217" s="87"/>
      <c r="N217" s="87"/>
      <c r="O217" s="88"/>
      <c r="P217" s="87"/>
      <c r="Q217" s="88"/>
      <c r="R217" s="87"/>
      <c r="S217" s="89"/>
    </row>
    <row r="218" spans="1:19" ht="18" customHeight="1">
      <c r="A218" s="10"/>
      <c r="B218" s="16"/>
      <c r="C218" s="36"/>
      <c r="D218" s="10"/>
      <c r="E218" s="62"/>
      <c r="F218" s="41"/>
      <c r="G218" s="233" t="s">
        <v>364</v>
      </c>
      <c r="H218" s="87"/>
      <c r="I218" s="236" t="s">
        <v>357</v>
      </c>
      <c r="J218" s="87" t="s">
        <v>5</v>
      </c>
      <c r="K218" s="87">
        <v>1</v>
      </c>
      <c r="L218" s="232" t="s">
        <v>363</v>
      </c>
      <c r="M218" s="87"/>
      <c r="N218" s="87"/>
      <c r="O218" s="88"/>
      <c r="P218" s="87"/>
      <c r="Q218" s="88"/>
      <c r="R218" s="236" t="s">
        <v>358</v>
      </c>
      <c r="S218" s="60"/>
    </row>
    <row r="219" spans="1:19" ht="18" customHeight="1">
      <c r="A219" s="10"/>
      <c r="B219" s="16"/>
      <c r="C219" s="36"/>
      <c r="D219" s="10"/>
      <c r="E219" s="62"/>
      <c r="F219" s="41"/>
      <c r="G219" s="233" t="s">
        <v>365</v>
      </c>
      <c r="H219" s="87">
        <v>27992000</v>
      </c>
      <c r="I219" s="236" t="s">
        <v>357</v>
      </c>
      <c r="J219" s="87" t="s">
        <v>5</v>
      </c>
      <c r="K219" s="301">
        <v>1</v>
      </c>
      <c r="L219" s="232" t="s">
        <v>363</v>
      </c>
      <c r="M219" s="87"/>
      <c r="N219" s="87"/>
      <c r="O219" s="88"/>
      <c r="P219" s="87"/>
      <c r="Q219" s="88"/>
      <c r="R219" s="236" t="s">
        <v>358</v>
      </c>
      <c r="S219" s="60">
        <v>27992000</v>
      </c>
    </row>
    <row r="220" spans="1:19" ht="18" customHeight="1">
      <c r="A220" s="10"/>
      <c r="B220" s="16"/>
      <c r="C220" s="22"/>
      <c r="D220" s="33"/>
      <c r="E220" s="64"/>
      <c r="F220" s="39"/>
      <c r="G220" s="386" t="s">
        <v>17</v>
      </c>
      <c r="H220" s="387"/>
      <c r="I220" s="387"/>
      <c r="J220" s="387"/>
      <c r="K220" s="387"/>
      <c r="L220" s="387"/>
      <c r="M220" s="387"/>
      <c r="N220" s="387"/>
      <c r="O220" s="387"/>
      <c r="P220" s="387"/>
      <c r="Q220" s="387"/>
      <c r="R220" s="387"/>
      <c r="S220" s="122">
        <f>SUM(S218:S219)</f>
        <v>27992000</v>
      </c>
    </row>
    <row r="221" spans="1:19" ht="18" customHeight="1">
      <c r="A221" s="10"/>
      <c r="B221" s="381" t="s">
        <v>60</v>
      </c>
      <c r="C221" s="382"/>
      <c r="D221" s="149">
        <f>D222+D228+D233+D238+D241</f>
        <v>37082</v>
      </c>
      <c r="E221" s="149">
        <f>E222+E228+E233+E238+E241</f>
        <v>23672</v>
      </c>
      <c r="F221" s="206">
        <f>F222+F228+F233+F238+F241</f>
        <v>13410</v>
      </c>
      <c r="G221" s="150"/>
      <c r="H221" s="151"/>
      <c r="I221" s="151"/>
      <c r="J221" s="151"/>
      <c r="K221" s="151"/>
      <c r="L221" s="148"/>
      <c r="M221" s="151"/>
      <c r="N221" s="151"/>
      <c r="O221" s="148"/>
      <c r="P221" s="151"/>
      <c r="Q221" s="148"/>
      <c r="R221" s="151"/>
      <c r="S221" s="152"/>
    </row>
    <row r="222" spans="1:19" ht="18" customHeight="1">
      <c r="A222" s="10"/>
      <c r="B222" s="11"/>
      <c r="C222" s="303" t="s">
        <v>123</v>
      </c>
      <c r="D222" s="63">
        <v>13422</v>
      </c>
      <c r="E222" s="63">
        <v>8800</v>
      </c>
      <c r="F222" s="40">
        <f>+D222-E222</f>
        <v>4622</v>
      </c>
      <c r="G222" s="96"/>
      <c r="H222" s="97"/>
      <c r="I222" s="97"/>
      <c r="J222" s="97"/>
      <c r="K222" s="97"/>
      <c r="L222" s="98"/>
      <c r="M222" s="97"/>
      <c r="N222" s="97"/>
      <c r="O222" s="98"/>
      <c r="P222" s="97"/>
      <c r="Q222" s="98"/>
      <c r="R222" s="97"/>
      <c r="S222" s="99"/>
    </row>
    <row r="223" spans="1:19" ht="18" customHeight="1">
      <c r="A223" s="10"/>
      <c r="B223" s="16"/>
      <c r="C223" s="273"/>
      <c r="D223" s="62"/>
      <c r="E223" s="62"/>
      <c r="F223" s="41"/>
      <c r="G223" s="86" t="s">
        <v>183</v>
      </c>
      <c r="H223" s="87"/>
      <c r="I223" s="87"/>
      <c r="J223" s="87"/>
      <c r="K223" s="87"/>
      <c r="L223" s="88"/>
      <c r="M223" s="87"/>
      <c r="N223" s="87"/>
      <c r="O223" s="88"/>
      <c r="P223" s="87"/>
      <c r="Q223" s="88"/>
      <c r="R223" s="87"/>
      <c r="S223" s="89"/>
    </row>
    <row r="224" spans="1:19" ht="18" customHeight="1">
      <c r="A224" s="10"/>
      <c r="B224" s="16"/>
      <c r="C224" s="41"/>
      <c r="D224" s="62"/>
      <c r="E224" s="62"/>
      <c r="F224" s="41"/>
      <c r="G224" s="90" t="s">
        <v>182</v>
      </c>
      <c r="H224" s="87">
        <v>685000</v>
      </c>
      <c r="I224" s="87" t="s">
        <v>3</v>
      </c>
      <c r="J224" s="87"/>
      <c r="K224" s="87"/>
      <c r="L224" s="88"/>
      <c r="M224" s="87"/>
      <c r="N224" s="87"/>
      <c r="O224" s="88"/>
      <c r="P224" s="87"/>
      <c r="Q224" s="88"/>
      <c r="R224" s="91" t="s">
        <v>14</v>
      </c>
      <c r="S224" s="60">
        <v>685000</v>
      </c>
    </row>
    <row r="225" spans="1:19" ht="18" customHeight="1">
      <c r="A225" s="10"/>
      <c r="B225" s="16"/>
      <c r="C225" s="41"/>
      <c r="D225" s="62"/>
      <c r="E225" s="62"/>
      <c r="F225" s="41"/>
      <c r="G225" s="90" t="s">
        <v>184</v>
      </c>
      <c r="H225" s="87">
        <v>11027400</v>
      </c>
      <c r="I225" s="87" t="s">
        <v>3</v>
      </c>
      <c r="J225" s="87"/>
      <c r="K225" s="87"/>
      <c r="L225" s="88"/>
      <c r="M225" s="87"/>
      <c r="N225" s="87"/>
      <c r="O225" s="88"/>
      <c r="P225" s="87"/>
      <c r="Q225" s="88"/>
      <c r="R225" s="91" t="s">
        <v>14</v>
      </c>
      <c r="S225" s="60">
        <v>11027400</v>
      </c>
    </row>
    <row r="226" spans="1:19" ht="18" customHeight="1">
      <c r="A226" s="10"/>
      <c r="B226" s="16"/>
      <c r="C226" s="41"/>
      <c r="D226" s="62"/>
      <c r="E226" s="62"/>
      <c r="F226" s="41"/>
      <c r="G226" s="90" t="s">
        <v>185</v>
      </c>
      <c r="H226" s="87">
        <v>1709600</v>
      </c>
      <c r="I226" s="87" t="s">
        <v>3</v>
      </c>
      <c r="J226" s="87" t="s">
        <v>5</v>
      </c>
      <c r="K226" s="87">
        <v>1</v>
      </c>
      <c r="L226" s="232" t="s">
        <v>326</v>
      </c>
      <c r="M226" s="199"/>
      <c r="N226" s="199"/>
      <c r="O226" s="200"/>
      <c r="P226" s="87"/>
      <c r="Q226" s="88"/>
      <c r="R226" s="91" t="s">
        <v>14</v>
      </c>
      <c r="S226" s="60">
        <f>1708300+1300</f>
        <v>1709600</v>
      </c>
    </row>
    <row r="227" spans="1:19" ht="18" customHeight="1">
      <c r="A227" s="10"/>
      <c r="B227" s="16"/>
      <c r="C227" s="306"/>
      <c r="D227" s="64"/>
      <c r="E227" s="64"/>
      <c r="F227" s="39"/>
      <c r="G227" s="379" t="s">
        <v>17</v>
      </c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79"/>
      <c r="S227" s="122">
        <f>SUM(S224:S226)</f>
        <v>13422000</v>
      </c>
    </row>
    <row r="228" spans="1:19" ht="18" customHeight="1">
      <c r="A228" s="10"/>
      <c r="B228" s="16"/>
      <c r="C228" s="303" t="s">
        <v>124</v>
      </c>
      <c r="D228" s="63">
        <v>3618</v>
      </c>
      <c r="E228" s="63">
        <v>3272</v>
      </c>
      <c r="F228" s="40">
        <f>+D228-E228</f>
        <v>346</v>
      </c>
      <c r="G228" s="96"/>
      <c r="H228" s="97"/>
      <c r="I228" s="97"/>
      <c r="J228" s="97"/>
      <c r="K228" s="97"/>
      <c r="L228" s="98"/>
      <c r="M228" s="97"/>
      <c r="N228" s="97"/>
      <c r="O228" s="98"/>
      <c r="P228" s="97"/>
      <c r="Q228" s="98"/>
      <c r="R228" s="97"/>
      <c r="S228" s="99"/>
    </row>
    <row r="229" spans="1:19" ht="18" customHeight="1">
      <c r="A229" s="10"/>
      <c r="B229" s="16"/>
      <c r="C229" s="273"/>
      <c r="D229" s="62"/>
      <c r="E229" s="62"/>
      <c r="F229" s="41"/>
      <c r="G229" s="86" t="s">
        <v>186</v>
      </c>
      <c r="H229" s="87"/>
      <c r="I229" s="87"/>
      <c r="J229" s="87"/>
      <c r="K229" s="87"/>
      <c r="L229" s="88"/>
      <c r="M229" s="87"/>
      <c r="N229" s="87"/>
      <c r="O229" s="88"/>
      <c r="P229" s="87"/>
      <c r="Q229" s="88"/>
      <c r="R229" s="87"/>
      <c r="S229" s="89"/>
    </row>
    <row r="230" spans="1:19" ht="18" customHeight="1">
      <c r="A230" s="10"/>
      <c r="B230" s="16"/>
      <c r="C230" s="41"/>
      <c r="D230" s="62"/>
      <c r="E230" s="62"/>
      <c r="F230" s="41"/>
      <c r="G230" s="233" t="s">
        <v>350</v>
      </c>
      <c r="H230" s="87">
        <v>344000</v>
      </c>
      <c r="I230" s="87" t="s">
        <v>3</v>
      </c>
      <c r="J230" s="87" t="s">
        <v>5</v>
      </c>
      <c r="K230" s="87">
        <v>1</v>
      </c>
      <c r="L230" s="88" t="s">
        <v>25</v>
      </c>
      <c r="M230" s="87"/>
      <c r="N230" s="94"/>
      <c r="O230" s="95"/>
      <c r="P230" s="94"/>
      <c r="Q230" s="95"/>
      <c r="R230" s="91" t="s">
        <v>14</v>
      </c>
      <c r="S230" s="60">
        <f>339900+4100</f>
        <v>344000</v>
      </c>
    </row>
    <row r="231" spans="1:19" ht="18" customHeight="1">
      <c r="A231" s="10"/>
      <c r="B231" s="16"/>
      <c r="C231" s="41"/>
      <c r="D231" s="62"/>
      <c r="E231" s="62"/>
      <c r="F231" s="41"/>
      <c r="G231" s="90" t="s">
        <v>187</v>
      </c>
      <c r="H231" s="87">
        <v>272830</v>
      </c>
      <c r="I231" s="87" t="s">
        <v>3</v>
      </c>
      <c r="J231" s="87" t="s">
        <v>5</v>
      </c>
      <c r="K231" s="87">
        <v>12</v>
      </c>
      <c r="L231" s="88" t="s">
        <v>137</v>
      </c>
      <c r="M231" s="87"/>
      <c r="N231" s="94"/>
      <c r="O231" s="95"/>
      <c r="P231" s="94"/>
      <c r="Q231" s="95"/>
      <c r="R231" s="91" t="s">
        <v>14</v>
      </c>
      <c r="S231" s="60">
        <v>3274000</v>
      </c>
    </row>
    <row r="232" spans="1:19" ht="18" customHeight="1">
      <c r="A232" s="10"/>
      <c r="B232" s="16"/>
      <c r="C232" s="306"/>
      <c r="D232" s="64"/>
      <c r="E232" s="21"/>
      <c r="F232" s="39"/>
      <c r="G232" s="379" t="s">
        <v>17</v>
      </c>
      <c r="H232" s="379"/>
      <c r="I232" s="379"/>
      <c r="J232" s="379"/>
      <c r="K232" s="379"/>
      <c r="L232" s="379"/>
      <c r="M232" s="379"/>
      <c r="N232" s="379"/>
      <c r="O232" s="379"/>
      <c r="P232" s="379"/>
      <c r="Q232" s="379"/>
      <c r="R232" s="379"/>
      <c r="S232" s="122">
        <f>SUM(S230:S231)</f>
        <v>3618000</v>
      </c>
    </row>
    <row r="233" spans="1:19" ht="18" customHeight="1">
      <c r="A233" s="10"/>
      <c r="B233" s="16"/>
      <c r="C233" s="307" t="s">
        <v>232</v>
      </c>
      <c r="D233" s="63">
        <v>10556</v>
      </c>
      <c r="E233" s="63">
        <v>10568</v>
      </c>
      <c r="F233" s="40">
        <f>+D233-E233</f>
        <v>-12</v>
      </c>
      <c r="G233" s="96"/>
      <c r="H233" s="97"/>
      <c r="I233" s="97"/>
      <c r="J233" s="97"/>
      <c r="K233" s="97"/>
      <c r="L233" s="98"/>
      <c r="M233" s="97"/>
      <c r="N233" s="97"/>
      <c r="O233" s="98"/>
      <c r="P233" s="97"/>
      <c r="Q233" s="98"/>
      <c r="R233" s="97"/>
      <c r="S233" s="99"/>
    </row>
    <row r="234" spans="1:19" ht="18" customHeight="1">
      <c r="A234" s="10"/>
      <c r="B234" s="16"/>
      <c r="C234" s="273"/>
      <c r="D234" s="62"/>
      <c r="E234" s="62"/>
      <c r="F234" s="41"/>
      <c r="G234" s="86" t="s">
        <v>188</v>
      </c>
      <c r="H234" s="87"/>
      <c r="I234" s="87"/>
      <c r="J234" s="87"/>
      <c r="K234" s="87"/>
      <c r="L234" s="88"/>
      <c r="M234" s="87"/>
      <c r="N234" s="87"/>
      <c r="O234" s="88"/>
      <c r="P234" s="87"/>
      <c r="Q234" s="88"/>
      <c r="R234" s="87"/>
      <c r="S234" s="89"/>
    </row>
    <row r="235" spans="1:19" ht="18" customHeight="1">
      <c r="A235" s="10"/>
      <c r="B235" s="16"/>
      <c r="C235" s="41"/>
      <c r="D235" s="62"/>
      <c r="E235" s="62"/>
      <c r="F235" s="41"/>
      <c r="G235" s="90" t="s">
        <v>189</v>
      </c>
      <c r="H235" s="87">
        <v>5248000</v>
      </c>
      <c r="I235" s="87" t="s">
        <v>3</v>
      </c>
      <c r="J235" s="87"/>
      <c r="K235" s="87"/>
      <c r="L235" s="88"/>
      <c r="M235" s="87"/>
      <c r="N235" s="94"/>
      <c r="O235" s="95"/>
      <c r="P235" s="94"/>
      <c r="Q235" s="95"/>
      <c r="R235" s="91" t="s">
        <v>14</v>
      </c>
      <c r="S235" s="60">
        <f>H235</f>
        <v>5248000</v>
      </c>
    </row>
    <row r="236" spans="1:19" ht="18" customHeight="1">
      <c r="A236" s="10"/>
      <c r="B236" s="16"/>
      <c r="C236" s="308"/>
      <c r="D236" s="62"/>
      <c r="E236" s="16"/>
      <c r="F236" s="41"/>
      <c r="G236" s="90" t="s">
        <v>190</v>
      </c>
      <c r="H236" s="87">
        <v>5308000</v>
      </c>
      <c r="I236" s="87" t="s">
        <v>3</v>
      </c>
      <c r="J236" s="87"/>
      <c r="K236" s="87"/>
      <c r="L236" s="88"/>
      <c r="M236" s="87"/>
      <c r="N236" s="87"/>
      <c r="O236" s="88"/>
      <c r="P236" s="87"/>
      <c r="Q236" s="88"/>
      <c r="R236" s="91" t="s">
        <v>14</v>
      </c>
      <c r="S236" s="60">
        <f>5293640+14360</f>
        <v>5308000</v>
      </c>
    </row>
    <row r="237" spans="1:19" ht="18" customHeight="1">
      <c r="A237" s="10"/>
      <c r="B237" s="16"/>
      <c r="C237" s="306"/>
      <c r="D237" s="64"/>
      <c r="E237" s="21"/>
      <c r="F237" s="39"/>
      <c r="G237" s="379" t="s">
        <v>17</v>
      </c>
      <c r="H237" s="379"/>
      <c r="I237" s="379"/>
      <c r="J237" s="379"/>
      <c r="K237" s="379"/>
      <c r="L237" s="379"/>
      <c r="M237" s="379"/>
      <c r="N237" s="379"/>
      <c r="O237" s="379"/>
      <c r="P237" s="379"/>
      <c r="Q237" s="379"/>
      <c r="R237" s="379"/>
      <c r="S237" s="122">
        <f>SUM(S235:S236)</f>
        <v>10556000</v>
      </c>
    </row>
    <row r="238" spans="1:19" ht="18" customHeight="1">
      <c r="A238" s="10"/>
      <c r="B238" s="16"/>
      <c r="C238" s="307" t="s">
        <v>279</v>
      </c>
      <c r="D238" s="63">
        <v>8800</v>
      </c>
      <c r="E238" s="63">
        <v>0</v>
      </c>
      <c r="F238" s="40">
        <f>+D238-E238</f>
        <v>8800</v>
      </c>
      <c r="G238" s="96"/>
      <c r="H238" s="97"/>
      <c r="I238" s="97"/>
      <c r="J238" s="97"/>
      <c r="K238" s="97"/>
      <c r="L238" s="98"/>
      <c r="M238" s="97"/>
      <c r="N238" s="97"/>
      <c r="O238" s="98"/>
      <c r="P238" s="97"/>
      <c r="Q238" s="98"/>
      <c r="R238" s="97"/>
      <c r="S238" s="99"/>
    </row>
    <row r="239" spans="1:19" ht="18" customHeight="1">
      <c r="A239" s="10"/>
      <c r="B239" s="16"/>
      <c r="C239" s="273"/>
      <c r="D239" s="62"/>
      <c r="E239" s="62"/>
      <c r="F239" s="41"/>
      <c r="G239" s="86" t="s">
        <v>280</v>
      </c>
      <c r="H239" s="317">
        <v>8800000</v>
      </c>
      <c r="I239" s="87" t="s">
        <v>3</v>
      </c>
      <c r="J239" s="87"/>
      <c r="K239" s="87"/>
      <c r="L239" s="88"/>
      <c r="M239" s="87"/>
      <c r="N239" s="87"/>
      <c r="O239" s="88"/>
      <c r="P239" s="87"/>
      <c r="Q239" s="88"/>
      <c r="R239" s="87"/>
      <c r="S239" s="60">
        <v>8800000</v>
      </c>
    </row>
    <row r="240" spans="1:19" ht="18" customHeight="1">
      <c r="A240" s="10"/>
      <c r="B240" s="21"/>
      <c r="C240" s="306"/>
      <c r="D240" s="64"/>
      <c r="E240" s="21"/>
      <c r="F240" s="39"/>
      <c r="G240" s="379" t="s">
        <v>17</v>
      </c>
      <c r="H240" s="379"/>
      <c r="I240" s="379"/>
      <c r="J240" s="379"/>
      <c r="K240" s="379"/>
      <c r="L240" s="379"/>
      <c r="M240" s="379"/>
      <c r="N240" s="379"/>
      <c r="O240" s="379"/>
      <c r="P240" s="379"/>
      <c r="Q240" s="379"/>
      <c r="R240" s="379"/>
      <c r="S240" s="122">
        <f>SUM(S239)</f>
        <v>8800000</v>
      </c>
    </row>
    <row r="241" spans="1:19" ht="18" customHeight="1">
      <c r="A241" s="10"/>
      <c r="B241" s="16"/>
      <c r="C241" s="307" t="s">
        <v>278</v>
      </c>
      <c r="D241" s="63">
        <f>348+338</f>
        <v>686</v>
      </c>
      <c r="E241" s="63">
        <v>1032</v>
      </c>
      <c r="F241" s="40">
        <f>+D241-E241</f>
        <v>-346</v>
      </c>
      <c r="G241" s="96"/>
      <c r="H241" s="97"/>
      <c r="I241" s="97"/>
      <c r="J241" s="97"/>
      <c r="K241" s="97"/>
      <c r="L241" s="98"/>
      <c r="M241" s="97"/>
      <c r="N241" s="97"/>
      <c r="O241" s="98"/>
      <c r="P241" s="97"/>
      <c r="Q241" s="98"/>
      <c r="R241" s="97"/>
      <c r="S241" s="99"/>
    </row>
    <row r="242" spans="1:19" ht="18" customHeight="1">
      <c r="A242" s="10"/>
      <c r="B242" s="16"/>
      <c r="C242" s="273"/>
      <c r="D242" s="62"/>
      <c r="E242" s="62"/>
      <c r="F242" s="41"/>
      <c r="G242" s="86" t="s">
        <v>233</v>
      </c>
      <c r="H242" s="87">
        <v>347510</v>
      </c>
      <c r="I242" s="87" t="s">
        <v>3</v>
      </c>
      <c r="J242" s="87"/>
      <c r="K242" s="87"/>
      <c r="L242" s="88"/>
      <c r="M242" s="87"/>
      <c r="N242" s="87"/>
      <c r="O242" s="88"/>
      <c r="P242" s="87"/>
      <c r="Q242" s="88"/>
      <c r="R242" s="87"/>
      <c r="S242" s="60">
        <v>347510</v>
      </c>
    </row>
    <row r="243" spans="1:19" ht="18" customHeight="1">
      <c r="A243" s="10"/>
      <c r="B243" s="16"/>
      <c r="C243" s="309"/>
      <c r="D243" s="62"/>
      <c r="E243" s="62"/>
      <c r="F243" s="41"/>
      <c r="G243" s="86" t="s">
        <v>369</v>
      </c>
      <c r="H243" s="87">
        <v>338490</v>
      </c>
      <c r="I243" s="236" t="s">
        <v>370</v>
      </c>
      <c r="J243" s="87"/>
      <c r="K243" s="87"/>
      <c r="L243" s="88"/>
      <c r="M243" s="87"/>
      <c r="N243" s="87"/>
      <c r="O243" s="88"/>
      <c r="P243" s="87"/>
      <c r="Q243" s="88"/>
      <c r="R243" s="87"/>
      <c r="S243" s="60">
        <v>338490</v>
      </c>
    </row>
    <row r="244" spans="1:19" ht="18" customHeight="1">
      <c r="A244" s="10"/>
      <c r="B244" s="21"/>
      <c r="C244" s="306"/>
      <c r="D244" s="64"/>
      <c r="E244" s="21"/>
      <c r="F244" s="39"/>
      <c r="G244" s="379" t="s">
        <v>17</v>
      </c>
      <c r="H244" s="379"/>
      <c r="I244" s="379"/>
      <c r="J244" s="379"/>
      <c r="K244" s="379"/>
      <c r="L244" s="379"/>
      <c r="M244" s="379"/>
      <c r="N244" s="379"/>
      <c r="O244" s="379"/>
      <c r="P244" s="379"/>
      <c r="Q244" s="379"/>
      <c r="R244" s="379"/>
      <c r="S244" s="122">
        <f>SUM(S242:S243)</f>
        <v>686000</v>
      </c>
    </row>
    <row r="245" spans="1:19" ht="18" customHeight="1">
      <c r="A245" s="402" t="s">
        <v>61</v>
      </c>
      <c r="B245" s="384"/>
      <c r="C245" s="401"/>
      <c r="D245" s="144">
        <f>D246+D249</f>
        <v>702</v>
      </c>
      <c r="E245" s="144">
        <f>E246+E249</f>
        <v>700</v>
      </c>
      <c r="F245" s="126">
        <f>F246+F249</f>
        <v>2</v>
      </c>
      <c r="G245" s="146"/>
      <c r="H245" s="125"/>
      <c r="I245" s="125"/>
      <c r="J245" s="125"/>
      <c r="K245" s="125"/>
      <c r="L245" s="143"/>
      <c r="M245" s="125"/>
      <c r="N245" s="125"/>
      <c r="O245" s="143"/>
      <c r="P245" s="125"/>
      <c r="Q245" s="143"/>
      <c r="R245" s="125"/>
      <c r="S245" s="147"/>
    </row>
    <row r="246" spans="1:19" ht="18" customHeight="1">
      <c r="A246" s="32"/>
      <c r="B246" s="381" t="s">
        <v>62</v>
      </c>
      <c r="C246" s="390"/>
      <c r="D246" s="304">
        <f>D247</f>
        <v>702</v>
      </c>
      <c r="E246" s="149">
        <f>E247</f>
        <v>700</v>
      </c>
      <c r="F246" s="149">
        <f>F247</f>
        <v>2</v>
      </c>
      <c r="G246" s="150"/>
      <c r="H246" s="151"/>
      <c r="I246" s="151"/>
      <c r="J246" s="151"/>
      <c r="K246" s="151"/>
      <c r="L246" s="148"/>
      <c r="M246" s="151"/>
      <c r="N246" s="151"/>
      <c r="O246" s="148"/>
      <c r="P246" s="151"/>
      <c r="Q246" s="148"/>
      <c r="R246" s="151"/>
      <c r="S246" s="152"/>
    </row>
    <row r="247" spans="1:19" ht="15.75" customHeight="1">
      <c r="A247" s="10"/>
      <c r="B247" s="11"/>
      <c r="C247" s="303" t="s">
        <v>63</v>
      </c>
      <c r="D247" s="63">
        <v>702</v>
      </c>
      <c r="E247" s="11">
        <v>700</v>
      </c>
      <c r="F247" s="40">
        <f>+D247-E247</f>
        <v>2</v>
      </c>
      <c r="G247" s="96"/>
      <c r="H247" s="97"/>
      <c r="I247" s="97"/>
      <c r="J247" s="97"/>
      <c r="K247" s="97"/>
      <c r="L247" s="98"/>
      <c r="M247" s="97"/>
      <c r="N247" s="97"/>
      <c r="O247" s="98"/>
      <c r="P247" s="97"/>
      <c r="Q247" s="98"/>
      <c r="R247" s="97"/>
      <c r="S247" s="99"/>
    </row>
    <row r="248" spans="1:19" ht="15.75" customHeight="1">
      <c r="A248" s="10"/>
      <c r="B248" s="16"/>
      <c r="C248" s="273"/>
      <c r="D248" s="62"/>
      <c r="E248" s="16"/>
      <c r="F248" s="41"/>
      <c r="G248" s="86" t="s">
        <v>88</v>
      </c>
      <c r="H248" s="87"/>
      <c r="I248" s="87"/>
      <c r="J248" s="87"/>
      <c r="K248" s="87"/>
      <c r="L248" s="88"/>
      <c r="M248" s="87"/>
      <c r="N248" s="87"/>
      <c r="O248" s="88"/>
      <c r="P248" s="87"/>
      <c r="Q248" s="88"/>
      <c r="R248" s="87"/>
      <c r="S248" s="60">
        <v>702000</v>
      </c>
    </row>
    <row r="249" spans="1:19" ht="18" customHeight="1">
      <c r="A249" s="10"/>
      <c r="B249" s="348" t="s">
        <v>64</v>
      </c>
      <c r="C249" s="378"/>
      <c r="D249" s="260">
        <f>D250</f>
        <v>0</v>
      </c>
      <c r="E249" s="115">
        <f>E250</f>
        <v>0</v>
      </c>
      <c r="F249" s="138">
        <f>D249-E249</f>
        <v>0</v>
      </c>
      <c r="G249" s="139"/>
      <c r="H249" s="115"/>
      <c r="I249" s="115"/>
      <c r="J249" s="115"/>
      <c r="K249" s="115"/>
      <c r="L249" s="154"/>
      <c r="M249" s="115"/>
      <c r="N249" s="115"/>
      <c r="O249" s="154"/>
      <c r="P249" s="115"/>
      <c r="Q249" s="154"/>
      <c r="R249" s="115"/>
      <c r="S249" s="116"/>
    </row>
    <row r="250" spans="1:19" ht="15" customHeight="1">
      <c r="A250" s="10"/>
      <c r="B250" s="11"/>
      <c r="C250" s="303" t="s">
        <v>65</v>
      </c>
      <c r="D250" s="63">
        <v>0</v>
      </c>
      <c r="E250" s="11">
        <v>0</v>
      </c>
      <c r="F250" s="40">
        <f>+D250-E250</f>
        <v>0</v>
      </c>
      <c r="G250" s="96"/>
      <c r="H250" s="97"/>
      <c r="I250" s="97"/>
      <c r="J250" s="97"/>
      <c r="K250" s="97"/>
      <c r="L250" s="98"/>
      <c r="M250" s="97"/>
      <c r="N250" s="97"/>
      <c r="O250" s="98"/>
      <c r="P250" s="97"/>
      <c r="Q250" s="98"/>
      <c r="R250" s="97"/>
      <c r="S250" s="99"/>
    </row>
    <row r="251" spans="1:19" ht="15" customHeight="1">
      <c r="A251" s="10"/>
      <c r="B251" s="16"/>
      <c r="C251" s="273"/>
      <c r="D251" s="62"/>
      <c r="E251" s="16"/>
      <c r="F251" s="41"/>
      <c r="G251" s="86" t="s">
        <v>73</v>
      </c>
      <c r="H251" s="100"/>
      <c r="I251" s="101"/>
      <c r="J251" s="101"/>
      <c r="K251" s="100"/>
      <c r="L251" s="264"/>
      <c r="M251" s="101"/>
      <c r="N251" s="94"/>
      <c r="O251" s="95"/>
      <c r="P251" s="94"/>
      <c r="Q251" s="95"/>
      <c r="R251" s="87"/>
      <c r="S251" s="60">
        <v>0</v>
      </c>
    </row>
    <row r="252" spans="1:19" ht="18" customHeight="1">
      <c r="A252" s="383" t="s">
        <v>66</v>
      </c>
      <c r="B252" s="384"/>
      <c r="C252" s="401"/>
      <c r="D252" s="144">
        <f aca="true" t="shared" si="0" ref="D252:F253">SUM(D253)</f>
        <v>0</v>
      </c>
      <c r="E252" s="155">
        <f t="shared" si="0"/>
        <v>0</v>
      </c>
      <c r="F252" s="145">
        <f t="shared" si="0"/>
        <v>0</v>
      </c>
      <c r="G252" s="146"/>
      <c r="H252" s="125"/>
      <c r="I252" s="125"/>
      <c r="J252" s="125"/>
      <c r="K252" s="125"/>
      <c r="L252" s="143"/>
      <c r="M252" s="125"/>
      <c r="N252" s="125"/>
      <c r="O252" s="143"/>
      <c r="P252" s="125"/>
      <c r="Q252" s="143"/>
      <c r="R252" s="125"/>
      <c r="S252" s="147"/>
    </row>
    <row r="253" spans="1:19" ht="18" customHeight="1">
      <c r="A253" s="32"/>
      <c r="B253" s="381" t="s">
        <v>22</v>
      </c>
      <c r="C253" s="390"/>
      <c r="D253" s="304">
        <f t="shared" si="0"/>
        <v>0</v>
      </c>
      <c r="E253" s="153">
        <f t="shared" si="0"/>
        <v>0</v>
      </c>
      <c r="F253" s="128">
        <f t="shared" si="0"/>
        <v>0</v>
      </c>
      <c r="G253" s="150"/>
      <c r="H253" s="151"/>
      <c r="I253" s="151"/>
      <c r="J253" s="151"/>
      <c r="K253" s="151"/>
      <c r="L253" s="148"/>
      <c r="M253" s="151"/>
      <c r="N253" s="151"/>
      <c r="O253" s="148"/>
      <c r="P253" s="151"/>
      <c r="Q253" s="148"/>
      <c r="R253" s="151"/>
      <c r="S253" s="152"/>
    </row>
    <row r="254" spans="1:19" ht="13.5" customHeight="1">
      <c r="A254" s="10"/>
      <c r="B254" s="11"/>
      <c r="C254" s="303" t="s">
        <v>22</v>
      </c>
      <c r="D254" s="63">
        <v>0</v>
      </c>
      <c r="E254" s="11">
        <v>0</v>
      </c>
      <c r="F254" s="40">
        <f>+D254-E254</f>
        <v>0</v>
      </c>
      <c r="G254" s="96"/>
      <c r="H254" s="97"/>
      <c r="I254" s="97"/>
      <c r="J254" s="97"/>
      <c r="K254" s="97"/>
      <c r="L254" s="98"/>
      <c r="M254" s="97"/>
      <c r="N254" s="97"/>
      <c r="O254" s="98"/>
      <c r="P254" s="97"/>
      <c r="Q254" s="98"/>
      <c r="R254" s="97"/>
      <c r="S254" s="99"/>
    </row>
    <row r="255" spans="1:19" ht="15" customHeight="1">
      <c r="A255" s="10"/>
      <c r="B255" s="16"/>
      <c r="C255" s="273"/>
      <c r="D255" s="62"/>
      <c r="E255" s="16"/>
      <c r="F255" s="41"/>
      <c r="G255" s="86" t="s">
        <v>230</v>
      </c>
      <c r="H255" s="100"/>
      <c r="I255" s="101"/>
      <c r="J255" s="101"/>
      <c r="K255" s="100"/>
      <c r="L255" s="95"/>
      <c r="M255" s="101"/>
      <c r="N255" s="94"/>
      <c r="O255" s="95"/>
      <c r="P255" s="94"/>
      <c r="Q255" s="95"/>
      <c r="R255" s="87"/>
      <c r="S255" s="60">
        <v>0</v>
      </c>
    </row>
    <row r="256" spans="1:19" ht="18" customHeight="1">
      <c r="A256" s="383" t="s">
        <v>67</v>
      </c>
      <c r="B256" s="384"/>
      <c r="C256" s="401"/>
      <c r="D256" s="144">
        <f>SUM(D257)</f>
        <v>338590</v>
      </c>
      <c r="E256" s="144">
        <f>SUM(E257)</f>
        <v>328420</v>
      </c>
      <c r="F256" s="126">
        <f>SUM(F257)</f>
        <v>10170</v>
      </c>
      <c r="G256" s="146"/>
      <c r="H256" s="125"/>
      <c r="I256" s="125"/>
      <c r="J256" s="125"/>
      <c r="K256" s="125"/>
      <c r="L256" s="143"/>
      <c r="M256" s="125"/>
      <c r="N256" s="125"/>
      <c r="O256" s="143"/>
      <c r="P256" s="125"/>
      <c r="Q256" s="143"/>
      <c r="R256" s="125"/>
      <c r="S256" s="147"/>
    </row>
    <row r="257" spans="1:19" ht="18" customHeight="1">
      <c r="A257" s="32"/>
      <c r="B257" s="381" t="s">
        <v>191</v>
      </c>
      <c r="C257" s="390"/>
      <c r="D257" s="304">
        <f>SUM(D258+D262+D265+D271)</f>
        <v>338590</v>
      </c>
      <c r="E257" s="149">
        <f>SUM(E258+E262+E265+E271)</f>
        <v>328420</v>
      </c>
      <c r="F257" s="149">
        <f>SUM(F258+F262+F265+F271)</f>
        <v>10170</v>
      </c>
      <c r="G257" s="150"/>
      <c r="H257" s="151"/>
      <c r="I257" s="151"/>
      <c r="J257" s="151"/>
      <c r="K257" s="151"/>
      <c r="L257" s="148"/>
      <c r="M257" s="151"/>
      <c r="N257" s="151"/>
      <c r="O257" s="148"/>
      <c r="P257" s="151"/>
      <c r="Q257" s="148"/>
      <c r="R257" s="151"/>
      <c r="S257" s="152"/>
    </row>
    <row r="258" spans="1:20" s="52" customFormat="1" ht="18" customHeight="1">
      <c r="A258" s="49"/>
      <c r="B258" s="168"/>
      <c r="C258" s="307" t="s">
        <v>281</v>
      </c>
      <c r="D258" s="62">
        <v>131037</v>
      </c>
      <c r="E258" s="50">
        <v>127600</v>
      </c>
      <c r="F258" s="51">
        <f>+D258-E258</f>
        <v>3437</v>
      </c>
      <c r="G258" s="170"/>
      <c r="H258" s="171"/>
      <c r="I258" s="171"/>
      <c r="J258" s="171"/>
      <c r="K258" s="171"/>
      <c r="L258" s="172"/>
      <c r="M258" s="171"/>
      <c r="N258" s="171"/>
      <c r="O258" s="172"/>
      <c r="P258" s="171"/>
      <c r="Q258" s="172"/>
      <c r="R258" s="171"/>
      <c r="S258" s="173"/>
      <c r="T258" s="2"/>
    </row>
    <row r="259" spans="1:20" s="52" customFormat="1" ht="15" customHeight="1">
      <c r="A259" s="49"/>
      <c r="B259" s="50"/>
      <c r="C259" s="310"/>
      <c r="D259" s="305"/>
      <c r="E259" s="50"/>
      <c r="F259" s="51"/>
      <c r="G259" s="265" t="s">
        <v>327</v>
      </c>
      <c r="H259" s="178">
        <v>11028650</v>
      </c>
      <c r="I259" s="179" t="s">
        <v>4</v>
      </c>
      <c r="J259" s="179" t="s">
        <v>1</v>
      </c>
      <c r="K259" s="178">
        <v>11</v>
      </c>
      <c r="L259" s="261" t="s">
        <v>314</v>
      </c>
      <c r="M259" s="179"/>
      <c r="N259" s="181"/>
      <c r="O259" s="180"/>
      <c r="P259" s="181"/>
      <c r="Q259" s="180"/>
      <c r="R259" s="174" t="s">
        <v>18</v>
      </c>
      <c r="S259" s="182">
        <v>121315150</v>
      </c>
      <c r="T259" s="2"/>
    </row>
    <row r="260" spans="1:20" s="52" customFormat="1" ht="15" customHeight="1">
      <c r="A260" s="49"/>
      <c r="B260" s="50"/>
      <c r="C260" s="310"/>
      <c r="D260" s="305"/>
      <c r="E260" s="50"/>
      <c r="F260" s="51"/>
      <c r="G260" s="265" t="s">
        <v>328</v>
      </c>
      <c r="H260" s="178">
        <v>883800</v>
      </c>
      <c r="I260" s="179" t="s">
        <v>4</v>
      </c>
      <c r="J260" s="258" t="s">
        <v>1</v>
      </c>
      <c r="K260" s="178">
        <v>11</v>
      </c>
      <c r="L260" s="261" t="s">
        <v>314</v>
      </c>
      <c r="M260" s="179"/>
      <c r="N260" s="181"/>
      <c r="O260" s="180"/>
      <c r="P260" s="181"/>
      <c r="Q260" s="180"/>
      <c r="R260" s="174" t="s">
        <v>18</v>
      </c>
      <c r="S260" s="182">
        <f>9713970+7880</f>
        <v>9721850</v>
      </c>
      <c r="T260" s="2"/>
    </row>
    <row r="261" spans="1:20" s="52" customFormat="1" ht="18" customHeight="1">
      <c r="A261" s="49"/>
      <c r="B261" s="50"/>
      <c r="C261" s="310"/>
      <c r="D261" s="305"/>
      <c r="E261" s="50"/>
      <c r="F261" s="51"/>
      <c r="G261" s="183"/>
      <c r="H261" s="184" t="s">
        <v>94</v>
      </c>
      <c r="I261" s="184" t="s">
        <v>95</v>
      </c>
      <c r="J261" s="184" t="s">
        <v>96</v>
      </c>
      <c r="K261" s="185"/>
      <c r="L261" s="184"/>
      <c r="M261" s="184"/>
      <c r="N261" s="184"/>
      <c r="O261" s="184"/>
      <c r="P261" s="184"/>
      <c r="Q261" s="184"/>
      <c r="R261" s="184"/>
      <c r="S261" s="186">
        <f>SUM(S259:S260)</f>
        <v>131037000</v>
      </c>
      <c r="T261" s="2"/>
    </row>
    <row r="262" spans="1:20" s="52" customFormat="1" ht="18" customHeight="1">
      <c r="A262" s="49"/>
      <c r="B262" s="50"/>
      <c r="C262" s="307" t="s">
        <v>282</v>
      </c>
      <c r="D262" s="63">
        <v>10410</v>
      </c>
      <c r="E262" s="168">
        <v>22380</v>
      </c>
      <c r="F262" s="169">
        <f>+D262-E262</f>
        <v>-11970</v>
      </c>
      <c r="G262" s="170"/>
      <c r="H262" s="171"/>
      <c r="I262" s="171"/>
      <c r="J262" s="171" t="s">
        <v>95</v>
      </c>
      <c r="K262" s="171"/>
      <c r="L262" s="172"/>
      <c r="M262" s="171"/>
      <c r="N262" s="171"/>
      <c r="O262" s="172"/>
      <c r="P262" s="171"/>
      <c r="Q262" s="172"/>
      <c r="R262" s="171"/>
      <c r="S262" s="176"/>
      <c r="T262" s="2"/>
    </row>
    <row r="263" spans="1:20" s="52" customFormat="1" ht="18" customHeight="1">
      <c r="A263" s="49"/>
      <c r="B263" s="50"/>
      <c r="C263" s="310"/>
      <c r="D263" s="305"/>
      <c r="E263" s="50"/>
      <c r="F263" s="51"/>
      <c r="G263" s="312" t="s">
        <v>283</v>
      </c>
      <c r="H263" s="263">
        <v>7480</v>
      </c>
      <c r="I263" s="258" t="s">
        <v>412</v>
      </c>
      <c r="J263" s="179"/>
      <c r="K263" s="178" t="s">
        <v>5</v>
      </c>
      <c r="L263" s="261">
        <v>174</v>
      </c>
      <c r="M263" s="258" t="s">
        <v>413</v>
      </c>
      <c r="N263" s="181" t="s">
        <v>5</v>
      </c>
      <c r="O263" s="180">
        <v>8</v>
      </c>
      <c r="P263" s="234" t="s">
        <v>414</v>
      </c>
      <c r="Q263" s="175"/>
      <c r="R263" s="174" t="s">
        <v>93</v>
      </c>
      <c r="S263" s="182">
        <f>10407810+2190</f>
        <v>10410000</v>
      </c>
      <c r="T263" s="2"/>
    </row>
    <row r="264" spans="1:20" s="52" customFormat="1" ht="18" customHeight="1">
      <c r="A264" s="49"/>
      <c r="B264" s="50"/>
      <c r="C264" s="310"/>
      <c r="D264" s="305"/>
      <c r="E264" s="50"/>
      <c r="F264" s="51"/>
      <c r="G264" s="183"/>
      <c r="H264" s="184" t="s">
        <v>94</v>
      </c>
      <c r="I264" s="184" t="s">
        <v>95</v>
      </c>
      <c r="J264" s="184" t="s">
        <v>96</v>
      </c>
      <c r="K264" s="185"/>
      <c r="L264" s="184"/>
      <c r="M264" s="184"/>
      <c r="N264" s="184"/>
      <c r="O264" s="184"/>
      <c r="P264" s="184"/>
      <c r="Q264" s="184"/>
      <c r="R264" s="184"/>
      <c r="S264" s="186">
        <f>SUM(S263:S263)</f>
        <v>10410000</v>
      </c>
      <c r="T264" s="2"/>
    </row>
    <row r="265" spans="1:20" s="52" customFormat="1" ht="18" customHeight="1">
      <c r="A265" s="49"/>
      <c r="B265" s="50"/>
      <c r="C265" s="307" t="s">
        <v>98</v>
      </c>
      <c r="D265" s="63">
        <v>43094</v>
      </c>
      <c r="E265" s="168">
        <v>45360</v>
      </c>
      <c r="F265" s="169">
        <f>+D265-E265</f>
        <v>-2266</v>
      </c>
      <c r="G265" s="170"/>
      <c r="H265" s="171"/>
      <c r="I265" s="171"/>
      <c r="J265" s="171" t="s">
        <v>95</v>
      </c>
      <c r="K265" s="171"/>
      <c r="L265" s="172"/>
      <c r="M265" s="171"/>
      <c r="N265" s="171"/>
      <c r="O265" s="172"/>
      <c r="P265" s="171"/>
      <c r="Q265" s="172"/>
      <c r="R265" s="171"/>
      <c r="S265" s="176"/>
      <c r="T265" s="2"/>
    </row>
    <row r="266" spans="1:20" s="52" customFormat="1" ht="18" customHeight="1">
      <c r="A266" s="49"/>
      <c r="B266" s="50"/>
      <c r="C266" s="310"/>
      <c r="D266" s="305"/>
      <c r="E266" s="50"/>
      <c r="F266" s="51"/>
      <c r="G266" s="38" t="s">
        <v>99</v>
      </c>
      <c r="H266" s="174"/>
      <c r="I266" s="174"/>
      <c r="J266" s="174"/>
      <c r="K266" s="174"/>
      <c r="L266" s="175"/>
      <c r="M266" s="174"/>
      <c r="N266" s="174"/>
      <c r="O266" s="175"/>
      <c r="P266" s="174"/>
      <c r="Q266" s="175"/>
      <c r="R266" s="174"/>
      <c r="S266" s="176"/>
      <c r="T266" s="2"/>
    </row>
    <row r="267" spans="1:20" s="52" customFormat="1" ht="18" customHeight="1">
      <c r="A267" s="49"/>
      <c r="B267" s="50"/>
      <c r="C267" s="310"/>
      <c r="D267" s="305"/>
      <c r="E267" s="50"/>
      <c r="F267" s="51"/>
      <c r="G267" s="235" t="s">
        <v>254</v>
      </c>
      <c r="H267" s="263">
        <v>3500</v>
      </c>
      <c r="I267" s="258" t="s">
        <v>412</v>
      </c>
      <c r="J267" s="179"/>
      <c r="K267" s="178" t="s">
        <v>5</v>
      </c>
      <c r="L267" s="261">
        <v>10</v>
      </c>
      <c r="M267" s="258" t="s">
        <v>413</v>
      </c>
      <c r="N267" s="181" t="s">
        <v>5</v>
      </c>
      <c r="O267" s="180">
        <v>210</v>
      </c>
      <c r="P267" s="234" t="s">
        <v>416</v>
      </c>
      <c r="Q267" s="175"/>
      <c r="R267" s="174" t="s">
        <v>18</v>
      </c>
      <c r="S267" s="182">
        <v>7625000</v>
      </c>
      <c r="T267" s="2"/>
    </row>
    <row r="268" spans="1:20" s="52" customFormat="1" ht="18" customHeight="1">
      <c r="A268" s="49"/>
      <c r="B268" s="50"/>
      <c r="C268" s="310"/>
      <c r="D268" s="305"/>
      <c r="E268" s="50"/>
      <c r="F268" s="51"/>
      <c r="G268" s="38" t="s">
        <v>89</v>
      </c>
      <c r="H268" s="174"/>
      <c r="I268" s="174"/>
      <c r="J268" s="174"/>
      <c r="K268" s="174"/>
      <c r="L268" s="175"/>
      <c r="M268" s="174"/>
      <c r="N268" s="174"/>
      <c r="O268" s="175"/>
      <c r="P268" s="174"/>
      <c r="Q268" s="175"/>
      <c r="R268" s="174"/>
      <c r="S268" s="176"/>
      <c r="T268" s="2"/>
    </row>
    <row r="269" spans="1:20" s="52" customFormat="1" ht="18" customHeight="1">
      <c r="A269" s="49"/>
      <c r="B269" s="50"/>
      <c r="C269" s="310"/>
      <c r="D269" s="305"/>
      <c r="E269" s="50"/>
      <c r="F269" s="51"/>
      <c r="G269" s="235" t="s">
        <v>255</v>
      </c>
      <c r="H269" s="263">
        <v>1000</v>
      </c>
      <c r="I269" s="258" t="s">
        <v>412</v>
      </c>
      <c r="J269" s="179"/>
      <c r="K269" s="178" t="s">
        <v>5</v>
      </c>
      <c r="L269" s="261">
        <v>169</v>
      </c>
      <c r="M269" s="258" t="s">
        <v>413</v>
      </c>
      <c r="N269" s="181" t="s">
        <v>5</v>
      </c>
      <c r="O269" s="180">
        <v>210</v>
      </c>
      <c r="P269" s="234" t="s">
        <v>454</v>
      </c>
      <c r="Q269" s="175"/>
      <c r="R269" s="174" t="s">
        <v>18</v>
      </c>
      <c r="S269" s="182">
        <v>35469000</v>
      </c>
      <c r="T269" s="2"/>
    </row>
    <row r="270" spans="1:20" s="52" customFormat="1" ht="18" customHeight="1">
      <c r="A270" s="49"/>
      <c r="B270" s="50"/>
      <c r="C270" s="310"/>
      <c r="D270" s="305"/>
      <c r="E270" s="50"/>
      <c r="F270" s="51"/>
      <c r="G270" s="183"/>
      <c r="H270" s="184" t="s">
        <v>94</v>
      </c>
      <c r="I270" s="184" t="s">
        <v>95</v>
      </c>
      <c r="J270" s="184" t="s">
        <v>96</v>
      </c>
      <c r="K270" s="185"/>
      <c r="L270" s="184"/>
      <c r="M270" s="184"/>
      <c r="N270" s="184"/>
      <c r="O270" s="184"/>
      <c r="P270" s="184"/>
      <c r="Q270" s="184"/>
      <c r="R270" s="184"/>
      <c r="S270" s="186">
        <f>SUM(S267:S269)</f>
        <v>43094000</v>
      </c>
      <c r="T270" s="2"/>
    </row>
    <row r="271" spans="1:20" s="52" customFormat="1" ht="18" customHeight="1">
      <c r="A271" s="49"/>
      <c r="B271" s="50"/>
      <c r="C271" s="307" t="s">
        <v>100</v>
      </c>
      <c r="D271" s="63">
        <v>154049</v>
      </c>
      <c r="E271" s="168">
        <v>133080</v>
      </c>
      <c r="F271" s="169">
        <f>+D271-E271</f>
        <v>20969</v>
      </c>
      <c r="G271" s="170"/>
      <c r="H271" s="171"/>
      <c r="I271" s="171"/>
      <c r="J271" s="171"/>
      <c r="K271" s="171"/>
      <c r="L271" s="172"/>
      <c r="M271" s="171"/>
      <c r="N271" s="171"/>
      <c r="O271" s="172"/>
      <c r="P271" s="171"/>
      <c r="Q271" s="172"/>
      <c r="R271" s="171"/>
      <c r="S271" s="173"/>
      <c r="T271" s="2"/>
    </row>
    <row r="272" spans="1:20" s="52" customFormat="1" ht="18" customHeight="1" hidden="1">
      <c r="A272" s="49"/>
      <c r="B272" s="50"/>
      <c r="C272" s="310"/>
      <c r="D272" s="305"/>
      <c r="E272" s="50"/>
      <c r="F272" s="51"/>
      <c r="G272" s="38" t="s">
        <v>101</v>
      </c>
      <c r="H272" s="187"/>
      <c r="I272" s="177"/>
      <c r="J272" s="177"/>
      <c r="K272" s="177"/>
      <c r="L272" s="188"/>
      <c r="M272" s="177"/>
      <c r="N272" s="177"/>
      <c r="O272" s="188"/>
      <c r="P272" s="177"/>
      <c r="Q272" s="188"/>
      <c r="R272" s="177"/>
      <c r="S272" s="55" t="e">
        <f>S273+S282+S291</f>
        <v>#DIV/0!</v>
      </c>
      <c r="T272" s="2"/>
    </row>
    <row r="273" spans="1:20" s="52" customFormat="1" ht="18" customHeight="1" hidden="1">
      <c r="A273" s="49"/>
      <c r="B273" s="50"/>
      <c r="C273" s="310"/>
      <c r="D273" s="305"/>
      <c r="E273" s="50"/>
      <c r="F273" s="51"/>
      <c r="G273" s="38" t="s">
        <v>102</v>
      </c>
      <c r="H273" s="187"/>
      <c r="I273" s="177"/>
      <c r="J273" s="177"/>
      <c r="K273" s="177"/>
      <c r="L273" s="188"/>
      <c r="M273" s="177"/>
      <c r="N273" s="177"/>
      <c r="O273" s="188"/>
      <c r="P273" s="177"/>
      <c r="Q273" s="188"/>
      <c r="R273" s="177"/>
      <c r="S273" s="55" t="e">
        <f>SUM(S274:S276,S281)</f>
        <v>#DIV/0!</v>
      </c>
      <c r="T273" s="2"/>
    </row>
    <row r="274" spans="1:20" s="52" customFormat="1" ht="18" customHeight="1" hidden="1">
      <c r="A274" s="49"/>
      <c r="B274" s="50"/>
      <c r="C274" s="310"/>
      <c r="D274" s="305"/>
      <c r="E274" s="50"/>
      <c r="F274" s="51"/>
      <c r="G274" s="189" t="s">
        <v>103</v>
      </c>
      <c r="H274" s="178"/>
      <c r="I274" s="179" t="s">
        <v>90</v>
      </c>
      <c r="J274" s="179" t="s">
        <v>91</v>
      </c>
      <c r="K274" s="178"/>
      <c r="L274" s="180" t="s">
        <v>104</v>
      </c>
      <c r="M274" s="179" t="s">
        <v>105</v>
      </c>
      <c r="N274" s="181" t="s">
        <v>95</v>
      </c>
      <c r="O274" s="180" t="s">
        <v>105</v>
      </c>
      <c r="P274" s="181" t="s">
        <v>95</v>
      </c>
      <c r="Q274" s="180" t="s">
        <v>105</v>
      </c>
      <c r="R274" s="190" t="s">
        <v>93</v>
      </c>
      <c r="S274" s="176">
        <f>ROUNDUP(H274*K274/1000,0)*1000</f>
        <v>0</v>
      </c>
      <c r="T274" s="2"/>
    </row>
    <row r="275" spans="1:20" s="52" customFormat="1" ht="18" customHeight="1" hidden="1">
      <c r="A275" s="49"/>
      <c r="B275" s="50"/>
      <c r="C275" s="310"/>
      <c r="D275" s="305"/>
      <c r="E275" s="50"/>
      <c r="F275" s="51"/>
      <c r="G275" s="189" t="s">
        <v>106</v>
      </c>
      <c r="H275" s="178"/>
      <c r="I275" s="179" t="s">
        <v>90</v>
      </c>
      <c r="J275" s="179" t="s">
        <v>91</v>
      </c>
      <c r="K275" s="178"/>
      <c r="L275" s="180" t="s">
        <v>104</v>
      </c>
      <c r="M275" s="179" t="s">
        <v>91</v>
      </c>
      <c r="N275" s="181"/>
      <c r="O275" s="180" t="s">
        <v>97</v>
      </c>
      <c r="P275" s="181"/>
      <c r="Q275" s="180" t="s">
        <v>97</v>
      </c>
      <c r="R275" s="190" t="s">
        <v>93</v>
      </c>
      <c r="S275" s="176">
        <f>ROUNDUP(H275*K275*P275/1000,0)*1000</f>
        <v>0</v>
      </c>
      <c r="T275" s="2"/>
    </row>
    <row r="276" spans="1:20" s="52" customFormat="1" ht="18" customHeight="1" hidden="1">
      <c r="A276" s="49"/>
      <c r="B276" s="50"/>
      <c r="C276" s="310"/>
      <c r="D276" s="305"/>
      <c r="E276" s="50"/>
      <c r="F276" s="51"/>
      <c r="G276" s="189" t="s">
        <v>107</v>
      </c>
      <c r="H276" s="174"/>
      <c r="I276" s="174"/>
      <c r="J276" s="174"/>
      <c r="K276" s="174"/>
      <c r="L276" s="175"/>
      <c r="M276" s="174"/>
      <c r="N276" s="174"/>
      <c r="O276" s="175"/>
      <c r="P276" s="174"/>
      <c r="Q276" s="175"/>
      <c r="R276" s="174"/>
      <c r="S276" s="176">
        <f>SUM(S277:S280)</f>
        <v>332000</v>
      </c>
      <c r="T276" s="2"/>
    </row>
    <row r="277" spans="1:20" s="52" customFormat="1" ht="18" customHeight="1" hidden="1">
      <c r="A277" s="49"/>
      <c r="B277" s="50"/>
      <c r="C277" s="310"/>
      <c r="D277" s="305"/>
      <c r="E277" s="50"/>
      <c r="F277" s="51"/>
      <c r="G277" s="189" t="s">
        <v>108</v>
      </c>
      <c r="H277" s="174"/>
      <c r="I277" s="179" t="s">
        <v>90</v>
      </c>
      <c r="J277" s="179" t="s">
        <v>5</v>
      </c>
      <c r="K277" s="191"/>
      <c r="L277" s="177" t="s">
        <v>109</v>
      </c>
      <c r="M277" s="174"/>
      <c r="N277" s="174"/>
      <c r="O277" s="175"/>
      <c r="P277" s="174"/>
      <c r="Q277" s="175"/>
      <c r="R277" s="190" t="s">
        <v>93</v>
      </c>
      <c r="S277" s="176">
        <f>ROUNDUP(H277*K277/100,-3)</f>
        <v>0</v>
      </c>
      <c r="T277" s="2"/>
    </row>
    <row r="278" spans="1:20" s="52" customFormat="1" ht="18" customHeight="1" hidden="1">
      <c r="A278" s="49"/>
      <c r="B278" s="50"/>
      <c r="C278" s="310"/>
      <c r="D278" s="305"/>
      <c r="E278" s="50"/>
      <c r="F278" s="51"/>
      <c r="G278" s="177" t="s">
        <v>110</v>
      </c>
      <c r="H278" s="174"/>
      <c r="I278" s="179" t="s">
        <v>90</v>
      </c>
      <c r="J278" s="179" t="s">
        <v>5</v>
      </c>
      <c r="K278" s="191"/>
      <c r="L278" s="177" t="s">
        <v>109</v>
      </c>
      <c r="M278" s="174"/>
      <c r="N278" s="174"/>
      <c r="O278" s="175"/>
      <c r="P278" s="174"/>
      <c r="Q278" s="175"/>
      <c r="R278" s="190" t="s">
        <v>93</v>
      </c>
      <c r="S278" s="176">
        <f>ROUNDUP(H278*K278/100,-3)</f>
        <v>0</v>
      </c>
      <c r="T278" s="2"/>
    </row>
    <row r="279" spans="1:20" s="52" customFormat="1" ht="18" customHeight="1" hidden="1">
      <c r="A279" s="49"/>
      <c r="B279" s="50"/>
      <c r="C279" s="310"/>
      <c r="D279" s="305"/>
      <c r="E279" s="50"/>
      <c r="F279" s="51"/>
      <c r="G279" s="177" t="s">
        <v>111</v>
      </c>
      <c r="H279" s="174"/>
      <c r="I279" s="179" t="s">
        <v>90</v>
      </c>
      <c r="J279" s="179" t="s">
        <v>5</v>
      </c>
      <c r="K279" s="192"/>
      <c r="L279" s="177" t="s">
        <v>109</v>
      </c>
      <c r="M279" s="174"/>
      <c r="N279" s="174"/>
      <c r="O279" s="175"/>
      <c r="P279" s="174"/>
      <c r="Q279" s="175"/>
      <c r="R279" s="190" t="s">
        <v>93</v>
      </c>
      <c r="S279" s="176">
        <v>332000</v>
      </c>
      <c r="T279" s="2"/>
    </row>
    <row r="280" spans="1:20" s="52" customFormat="1" ht="18" customHeight="1" hidden="1">
      <c r="A280" s="49"/>
      <c r="B280" s="50"/>
      <c r="C280" s="310"/>
      <c r="D280" s="305"/>
      <c r="E280" s="50"/>
      <c r="F280" s="51"/>
      <c r="G280" s="177" t="s">
        <v>112</v>
      </c>
      <c r="H280" s="174"/>
      <c r="I280" s="179" t="s">
        <v>90</v>
      </c>
      <c r="J280" s="179" t="s">
        <v>5</v>
      </c>
      <c r="K280" s="191"/>
      <c r="L280" s="177" t="s">
        <v>109</v>
      </c>
      <c r="M280" s="177"/>
      <c r="N280" s="177"/>
      <c r="O280" s="188"/>
      <c r="P280" s="177"/>
      <c r="Q280" s="188"/>
      <c r="R280" s="190" t="s">
        <v>93</v>
      </c>
      <c r="S280" s="176">
        <f>ROUNDUP(H280*K280/100,-3)</f>
        <v>0</v>
      </c>
      <c r="T280" s="2"/>
    </row>
    <row r="281" spans="1:20" s="52" customFormat="1" ht="18" customHeight="1" hidden="1">
      <c r="A281" s="49"/>
      <c r="B281" s="50"/>
      <c r="C281" s="310"/>
      <c r="D281" s="305"/>
      <c r="E281" s="50"/>
      <c r="F281" s="51"/>
      <c r="G281" s="189" t="s">
        <v>113</v>
      </c>
      <c r="H281" s="174"/>
      <c r="I281" s="179" t="s">
        <v>90</v>
      </c>
      <c r="J281" s="193" t="s">
        <v>114</v>
      </c>
      <c r="K281" s="178"/>
      <c r="L281" s="180" t="s">
        <v>115</v>
      </c>
      <c r="M281" s="174"/>
      <c r="N281" s="174"/>
      <c r="O281" s="175"/>
      <c r="P281" s="174"/>
      <c r="Q281" s="175"/>
      <c r="R281" s="190" t="s">
        <v>93</v>
      </c>
      <c r="S281" s="176" t="e">
        <f>ROUNDUP(H281/K281/1000,0)*1000</f>
        <v>#DIV/0!</v>
      </c>
      <c r="T281" s="2"/>
    </row>
    <row r="282" spans="1:20" s="52" customFormat="1" ht="18" customHeight="1" hidden="1">
      <c r="A282" s="49"/>
      <c r="B282" s="50"/>
      <c r="C282" s="310"/>
      <c r="D282" s="305"/>
      <c r="E282" s="50"/>
      <c r="F282" s="51"/>
      <c r="G282" s="38" t="s">
        <v>116</v>
      </c>
      <c r="H282" s="187"/>
      <c r="I282" s="177"/>
      <c r="J282" s="177"/>
      <c r="K282" s="177"/>
      <c r="L282" s="188"/>
      <c r="M282" s="177"/>
      <c r="N282" s="177"/>
      <c r="O282" s="188"/>
      <c r="P282" s="177"/>
      <c r="Q282" s="188"/>
      <c r="R282" s="177"/>
      <c r="S282" s="55" t="e">
        <f>SUM(S283:S285,S290)</f>
        <v>#DIV/0!</v>
      </c>
      <c r="T282" s="2"/>
    </row>
    <row r="283" spans="1:20" s="52" customFormat="1" ht="18" customHeight="1" hidden="1">
      <c r="A283" s="49"/>
      <c r="B283" s="50"/>
      <c r="C283" s="310"/>
      <c r="D283" s="305"/>
      <c r="E283" s="50"/>
      <c r="F283" s="51"/>
      <c r="G283" s="189" t="s">
        <v>103</v>
      </c>
      <c r="H283" s="178"/>
      <c r="I283" s="179" t="s">
        <v>90</v>
      </c>
      <c r="J283" s="179" t="s">
        <v>91</v>
      </c>
      <c r="K283" s="178"/>
      <c r="L283" s="180" t="s">
        <v>104</v>
      </c>
      <c r="M283" s="179" t="s">
        <v>105</v>
      </c>
      <c r="N283" s="181" t="s">
        <v>95</v>
      </c>
      <c r="O283" s="180" t="s">
        <v>105</v>
      </c>
      <c r="P283" s="181" t="s">
        <v>95</v>
      </c>
      <c r="Q283" s="180" t="s">
        <v>105</v>
      </c>
      <c r="R283" s="190" t="s">
        <v>93</v>
      </c>
      <c r="S283" s="176">
        <f>ROUNDUP(H283*K283/1000,0)*1000</f>
        <v>0</v>
      </c>
      <c r="T283" s="2"/>
    </row>
    <row r="284" spans="1:20" s="52" customFormat="1" ht="18" customHeight="1" hidden="1">
      <c r="A284" s="49"/>
      <c r="B284" s="50"/>
      <c r="C284" s="310"/>
      <c r="D284" s="305"/>
      <c r="E284" s="50"/>
      <c r="F284" s="51"/>
      <c r="G284" s="189" t="s">
        <v>106</v>
      </c>
      <c r="H284" s="178"/>
      <c r="I284" s="179" t="s">
        <v>90</v>
      </c>
      <c r="J284" s="179" t="s">
        <v>91</v>
      </c>
      <c r="K284" s="178"/>
      <c r="L284" s="180" t="s">
        <v>104</v>
      </c>
      <c r="M284" s="179" t="s">
        <v>91</v>
      </c>
      <c r="N284" s="181"/>
      <c r="O284" s="180" t="s">
        <v>97</v>
      </c>
      <c r="P284" s="181"/>
      <c r="Q284" s="180" t="s">
        <v>97</v>
      </c>
      <c r="R284" s="190" t="s">
        <v>93</v>
      </c>
      <c r="S284" s="176">
        <f>ROUNDUP(H284*K284*P284/1000,0)*1000</f>
        <v>0</v>
      </c>
      <c r="T284" s="2"/>
    </row>
    <row r="285" spans="1:20" s="52" customFormat="1" ht="18" customHeight="1" hidden="1">
      <c r="A285" s="49"/>
      <c r="B285" s="50"/>
      <c r="C285" s="310"/>
      <c r="D285" s="305"/>
      <c r="E285" s="50"/>
      <c r="F285" s="51"/>
      <c r="G285" s="189" t="s">
        <v>107</v>
      </c>
      <c r="H285" s="174"/>
      <c r="I285" s="174"/>
      <c r="J285" s="174"/>
      <c r="K285" s="174"/>
      <c r="L285" s="175"/>
      <c r="M285" s="174"/>
      <c r="N285" s="174"/>
      <c r="O285" s="175"/>
      <c r="P285" s="174"/>
      <c r="Q285" s="175"/>
      <c r="R285" s="174"/>
      <c r="S285" s="176">
        <f>SUM(S286:S289)</f>
        <v>0</v>
      </c>
      <c r="T285" s="2"/>
    </row>
    <row r="286" spans="1:20" s="52" customFormat="1" ht="18" customHeight="1" hidden="1">
      <c r="A286" s="49"/>
      <c r="B286" s="50"/>
      <c r="C286" s="310"/>
      <c r="D286" s="305"/>
      <c r="E286" s="50"/>
      <c r="F286" s="51"/>
      <c r="G286" s="189" t="s">
        <v>108</v>
      </c>
      <c r="H286" s="174"/>
      <c r="I286" s="179" t="s">
        <v>90</v>
      </c>
      <c r="J286" s="179" t="s">
        <v>5</v>
      </c>
      <c r="K286" s="191"/>
      <c r="L286" s="177" t="s">
        <v>109</v>
      </c>
      <c r="M286" s="174"/>
      <c r="N286" s="174"/>
      <c r="O286" s="175"/>
      <c r="P286" s="174"/>
      <c r="Q286" s="175"/>
      <c r="R286" s="190" t="s">
        <v>93</v>
      </c>
      <c r="S286" s="176">
        <f>ROUNDUP(H286*K286/100,-3)</f>
        <v>0</v>
      </c>
      <c r="T286" s="2"/>
    </row>
    <row r="287" spans="1:20" s="52" customFormat="1" ht="18" customHeight="1" hidden="1">
      <c r="A287" s="49"/>
      <c r="B287" s="50"/>
      <c r="C287" s="310"/>
      <c r="D287" s="305"/>
      <c r="E287" s="50"/>
      <c r="F287" s="51"/>
      <c r="G287" s="177" t="s">
        <v>110</v>
      </c>
      <c r="H287" s="174"/>
      <c r="I287" s="179" t="s">
        <v>90</v>
      </c>
      <c r="J287" s="179" t="s">
        <v>5</v>
      </c>
      <c r="K287" s="191"/>
      <c r="L287" s="177" t="s">
        <v>109</v>
      </c>
      <c r="M287" s="174"/>
      <c r="N287" s="174"/>
      <c r="O287" s="175"/>
      <c r="P287" s="174"/>
      <c r="Q287" s="175"/>
      <c r="R287" s="190" t="s">
        <v>93</v>
      </c>
      <c r="S287" s="176">
        <f>ROUNDUP(H287*K287/100,-3)</f>
        <v>0</v>
      </c>
      <c r="T287" s="2"/>
    </row>
    <row r="288" spans="1:20" s="52" customFormat="1" ht="18" customHeight="1" hidden="1">
      <c r="A288" s="49"/>
      <c r="B288" s="50"/>
      <c r="C288" s="310"/>
      <c r="D288" s="305"/>
      <c r="E288" s="50"/>
      <c r="F288" s="51"/>
      <c r="G288" s="177" t="s">
        <v>111</v>
      </c>
      <c r="H288" s="174"/>
      <c r="I288" s="179" t="s">
        <v>90</v>
      </c>
      <c r="J288" s="179" t="s">
        <v>5</v>
      </c>
      <c r="K288" s="192"/>
      <c r="L288" s="177" t="s">
        <v>109</v>
      </c>
      <c r="M288" s="174"/>
      <c r="N288" s="174"/>
      <c r="O288" s="175"/>
      <c r="P288" s="174"/>
      <c r="Q288" s="175"/>
      <c r="R288" s="190" t="s">
        <v>93</v>
      </c>
      <c r="S288" s="176">
        <f>ROUNDUP(H288*K288/100,-3)</f>
        <v>0</v>
      </c>
      <c r="T288" s="2"/>
    </row>
    <row r="289" spans="1:20" s="52" customFormat="1" ht="18" customHeight="1" hidden="1">
      <c r="A289" s="49"/>
      <c r="B289" s="50"/>
      <c r="C289" s="310"/>
      <c r="D289" s="305"/>
      <c r="E289" s="50"/>
      <c r="F289" s="51"/>
      <c r="G289" s="177" t="s">
        <v>112</v>
      </c>
      <c r="H289" s="174"/>
      <c r="I289" s="179" t="s">
        <v>90</v>
      </c>
      <c r="J289" s="179" t="s">
        <v>5</v>
      </c>
      <c r="K289" s="191"/>
      <c r="L289" s="177" t="s">
        <v>109</v>
      </c>
      <c r="M289" s="177"/>
      <c r="N289" s="177"/>
      <c r="O289" s="188"/>
      <c r="P289" s="177"/>
      <c r="Q289" s="188"/>
      <c r="R289" s="190" t="s">
        <v>93</v>
      </c>
      <c r="S289" s="176">
        <f>ROUNDUP(H289*K289/100,-3)</f>
        <v>0</v>
      </c>
      <c r="T289" s="2"/>
    </row>
    <row r="290" spans="1:20" s="52" customFormat="1" ht="18" customHeight="1" hidden="1">
      <c r="A290" s="49"/>
      <c r="B290" s="50"/>
      <c r="C290" s="310"/>
      <c r="D290" s="305"/>
      <c r="E290" s="50"/>
      <c r="F290" s="51"/>
      <c r="G290" s="189" t="s">
        <v>113</v>
      </c>
      <c r="H290" s="174"/>
      <c r="I290" s="179" t="s">
        <v>90</v>
      </c>
      <c r="J290" s="193" t="s">
        <v>114</v>
      </c>
      <c r="K290" s="178"/>
      <c r="L290" s="180" t="s">
        <v>115</v>
      </c>
      <c r="M290" s="174"/>
      <c r="N290" s="174"/>
      <c r="O290" s="175"/>
      <c r="P290" s="174"/>
      <c r="Q290" s="175"/>
      <c r="R290" s="190" t="s">
        <v>93</v>
      </c>
      <c r="S290" s="176" t="e">
        <f>ROUNDUP(H290/K290/1000,0)*1000</f>
        <v>#DIV/0!</v>
      </c>
      <c r="T290" s="2"/>
    </row>
    <row r="291" spans="1:20" s="52" customFormat="1" ht="18" customHeight="1" hidden="1">
      <c r="A291" s="49"/>
      <c r="B291" s="50"/>
      <c r="C291" s="310"/>
      <c r="D291" s="305"/>
      <c r="E291" s="50"/>
      <c r="F291" s="51"/>
      <c r="G291" s="38" t="s">
        <v>117</v>
      </c>
      <c r="H291" s="187" t="e">
        <f>S291/SUM('[1]세입'!D33*1000)</f>
        <v>#DIV/0!</v>
      </c>
      <c r="I291" s="177"/>
      <c r="J291" s="177"/>
      <c r="K291" s="177"/>
      <c r="L291" s="188"/>
      <c r="M291" s="177"/>
      <c r="N291" s="177"/>
      <c r="O291" s="188"/>
      <c r="P291" s="177"/>
      <c r="Q291" s="188"/>
      <c r="R291" s="177"/>
      <c r="S291" s="55" t="e">
        <f>SUM(S292:S294,S299)</f>
        <v>#DIV/0!</v>
      </c>
      <c r="T291" s="2"/>
    </row>
    <row r="292" spans="1:20" s="52" customFormat="1" ht="18" customHeight="1" hidden="1">
      <c r="A292" s="49"/>
      <c r="B292" s="50"/>
      <c r="C292" s="310"/>
      <c r="D292" s="305"/>
      <c r="E292" s="50"/>
      <c r="F292" s="51"/>
      <c r="G292" s="189" t="s">
        <v>103</v>
      </c>
      <c r="H292" s="178"/>
      <c r="I292" s="179" t="s">
        <v>90</v>
      </c>
      <c r="J292" s="179" t="s">
        <v>91</v>
      </c>
      <c r="K292" s="178"/>
      <c r="L292" s="180" t="s">
        <v>104</v>
      </c>
      <c r="M292" s="179" t="s">
        <v>105</v>
      </c>
      <c r="N292" s="181" t="s">
        <v>95</v>
      </c>
      <c r="O292" s="180" t="s">
        <v>105</v>
      </c>
      <c r="P292" s="181" t="s">
        <v>95</v>
      </c>
      <c r="Q292" s="180" t="s">
        <v>105</v>
      </c>
      <c r="R292" s="190" t="s">
        <v>93</v>
      </c>
      <c r="S292" s="176">
        <f>ROUNDUP(H292*K292/1000,0)*1000</f>
        <v>0</v>
      </c>
      <c r="T292" s="2"/>
    </row>
    <row r="293" spans="1:20" s="52" customFormat="1" ht="18" customHeight="1" hidden="1">
      <c r="A293" s="49"/>
      <c r="B293" s="50"/>
      <c r="C293" s="310"/>
      <c r="D293" s="305"/>
      <c r="E293" s="50"/>
      <c r="F293" s="51"/>
      <c r="G293" s="189" t="s">
        <v>106</v>
      </c>
      <c r="H293" s="178"/>
      <c r="I293" s="179" t="s">
        <v>90</v>
      </c>
      <c r="J293" s="179" t="s">
        <v>91</v>
      </c>
      <c r="K293" s="178"/>
      <c r="L293" s="180" t="s">
        <v>104</v>
      </c>
      <c r="M293" s="179" t="s">
        <v>91</v>
      </c>
      <c r="N293" s="181"/>
      <c r="O293" s="180" t="s">
        <v>97</v>
      </c>
      <c r="P293" s="181"/>
      <c r="Q293" s="180" t="s">
        <v>97</v>
      </c>
      <c r="R293" s="190" t="s">
        <v>93</v>
      </c>
      <c r="S293" s="176">
        <f>ROUNDUP(H293*K293*P293/1000,0)*1000</f>
        <v>0</v>
      </c>
      <c r="T293" s="2"/>
    </row>
    <row r="294" spans="1:20" s="52" customFormat="1" ht="18" customHeight="1" hidden="1">
      <c r="A294" s="49"/>
      <c r="B294" s="50"/>
      <c r="C294" s="310"/>
      <c r="D294" s="305"/>
      <c r="E294" s="50"/>
      <c r="F294" s="51"/>
      <c r="G294" s="189" t="s">
        <v>107</v>
      </c>
      <c r="H294" s="174"/>
      <c r="I294" s="174"/>
      <c r="J294" s="174"/>
      <c r="K294" s="174"/>
      <c r="L294" s="175"/>
      <c r="M294" s="174"/>
      <c r="N294" s="174"/>
      <c r="O294" s="175"/>
      <c r="P294" s="174"/>
      <c r="Q294" s="175"/>
      <c r="R294" s="174"/>
      <c r="S294" s="176">
        <f>SUM(S295:S298)</f>
        <v>0</v>
      </c>
      <c r="T294" s="2"/>
    </row>
    <row r="295" spans="1:20" s="52" customFormat="1" ht="18" customHeight="1" hidden="1">
      <c r="A295" s="49"/>
      <c r="B295" s="50"/>
      <c r="C295" s="310"/>
      <c r="D295" s="305"/>
      <c r="E295" s="50"/>
      <c r="F295" s="51"/>
      <c r="G295" s="189" t="s">
        <v>108</v>
      </c>
      <c r="H295" s="174"/>
      <c r="I295" s="179" t="s">
        <v>90</v>
      </c>
      <c r="J295" s="179" t="s">
        <v>5</v>
      </c>
      <c r="K295" s="191"/>
      <c r="L295" s="177" t="s">
        <v>109</v>
      </c>
      <c r="M295" s="174"/>
      <c r="N295" s="174"/>
      <c r="O295" s="175"/>
      <c r="P295" s="174"/>
      <c r="Q295" s="175"/>
      <c r="R295" s="190" t="s">
        <v>93</v>
      </c>
      <c r="S295" s="176">
        <f>ROUNDUP(H295*K295/100,-3)</f>
        <v>0</v>
      </c>
      <c r="T295" s="2"/>
    </row>
    <row r="296" spans="1:20" s="52" customFormat="1" ht="18" customHeight="1" hidden="1">
      <c r="A296" s="49"/>
      <c r="B296" s="50"/>
      <c r="C296" s="310"/>
      <c r="D296" s="305"/>
      <c r="E296" s="50"/>
      <c r="F296" s="51"/>
      <c r="G296" s="177" t="s">
        <v>110</v>
      </c>
      <c r="H296" s="174"/>
      <c r="I296" s="179" t="s">
        <v>90</v>
      </c>
      <c r="J296" s="179" t="s">
        <v>5</v>
      </c>
      <c r="K296" s="191"/>
      <c r="L296" s="177" t="s">
        <v>109</v>
      </c>
      <c r="M296" s="174"/>
      <c r="N296" s="174"/>
      <c r="O296" s="175"/>
      <c r="P296" s="174"/>
      <c r="Q296" s="175"/>
      <c r="R296" s="190" t="s">
        <v>93</v>
      </c>
      <c r="S296" s="176">
        <f>ROUNDUP(H296*K296/100,-3)</f>
        <v>0</v>
      </c>
      <c r="T296" s="2"/>
    </row>
    <row r="297" spans="1:20" s="52" customFormat="1" ht="18" customHeight="1" hidden="1">
      <c r="A297" s="49"/>
      <c r="B297" s="50"/>
      <c r="C297" s="310"/>
      <c r="D297" s="305"/>
      <c r="E297" s="50"/>
      <c r="F297" s="51"/>
      <c r="G297" s="177" t="s">
        <v>111</v>
      </c>
      <c r="H297" s="174"/>
      <c r="I297" s="179" t="s">
        <v>90</v>
      </c>
      <c r="J297" s="179" t="s">
        <v>5</v>
      </c>
      <c r="K297" s="192"/>
      <c r="L297" s="177" t="s">
        <v>109</v>
      </c>
      <c r="M297" s="174"/>
      <c r="N297" s="174"/>
      <c r="O297" s="175"/>
      <c r="P297" s="174"/>
      <c r="Q297" s="175"/>
      <c r="R297" s="190" t="s">
        <v>93</v>
      </c>
      <c r="S297" s="176">
        <f>ROUNDUP(H297*K297/100,-3)</f>
        <v>0</v>
      </c>
      <c r="T297" s="2"/>
    </row>
    <row r="298" spans="1:20" s="52" customFormat="1" ht="18" customHeight="1" hidden="1">
      <c r="A298" s="49"/>
      <c r="B298" s="50"/>
      <c r="C298" s="310"/>
      <c r="D298" s="305"/>
      <c r="E298" s="50"/>
      <c r="F298" s="51"/>
      <c r="G298" s="177" t="s">
        <v>112</v>
      </c>
      <c r="H298" s="174"/>
      <c r="I298" s="179" t="s">
        <v>90</v>
      </c>
      <c r="J298" s="179" t="s">
        <v>5</v>
      </c>
      <c r="K298" s="191"/>
      <c r="L298" s="177" t="s">
        <v>109</v>
      </c>
      <c r="M298" s="177"/>
      <c r="N298" s="177"/>
      <c r="O298" s="188"/>
      <c r="P298" s="177"/>
      <c r="Q298" s="188"/>
      <c r="R298" s="190" t="s">
        <v>93</v>
      </c>
      <c r="S298" s="176">
        <f>ROUNDUP(H298*K298/100,-3)</f>
        <v>0</v>
      </c>
      <c r="T298" s="2"/>
    </row>
    <row r="299" spans="1:20" s="52" customFormat="1" ht="18" customHeight="1" hidden="1">
      <c r="A299" s="49"/>
      <c r="B299" s="50"/>
      <c r="C299" s="310"/>
      <c r="D299" s="305"/>
      <c r="E299" s="50"/>
      <c r="F299" s="51"/>
      <c r="G299" s="189" t="s">
        <v>113</v>
      </c>
      <c r="H299" s="174"/>
      <c r="I299" s="179" t="s">
        <v>90</v>
      </c>
      <c r="J299" s="193" t="s">
        <v>114</v>
      </c>
      <c r="K299" s="178"/>
      <c r="L299" s="180" t="s">
        <v>115</v>
      </c>
      <c r="M299" s="174"/>
      <c r="N299" s="174"/>
      <c r="O299" s="175"/>
      <c r="P299" s="174"/>
      <c r="Q299" s="175"/>
      <c r="R299" s="190" t="s">
        <v>93</v>
      </c>
      <c r="S299" s="176" t="e">
        <f>ROUNDUP(H299/K299/1000,0)*1000</f>
        <v>#DIV/0!</v>
      </c>
      <c r="T299" s="2"/>
    </row>
    <row r="300" spans="1:19" s="52" customFormat="1" ht="18" customHeight="1" hidden="1">
      <c r="A300" s="49"/>
      <c r="B300" s="50"/>
      <c r="C300" s="310"/>
      <c r="D300" s="305"/>
      <c r="E300" s="50"/>
      <c r="F300" s="51"/>
      <c r="G300" s="194"/>
      <c r="H300" s="177"/>
      <c r="I300" s="177"/>
      <c r="J300" s="177"/>
      <c r="K300" s="177"/>
      <c r="L300" s="177"/>
      <c r="M300" s="177"/>
      <c r="N300" s="195"/>
      <c r="O300" s="177"/>
      <c r="P300" s="195"/>
      <c r="Q300" s="177"/>
      <c r="R300" s="177"/>
      <c r="S300" s="176"/>
    </row>
    <row r="301" spans="1:19" s="52" customFormat="1" ht="18" customHeight="1">
      <c r="A301" s="49"/>
      <c r="B301" s="50"/>
      <c r="C301" s="310"/>
      <c r="D301" s="305"/>
      <c r="E301" s="50"/>
      <c r="F301" s="51"/>
      <c r="G301" s="38" t="s">
        <v>401</v>
      </c>
      <c r="H301" s="177">
        <v>400000</v>
      </c>
      <c r="I301" s="235" t="s">
        <v>351</v>
      </c>
      <c r="J301" s="179" t="s">
        <v>5</v>
      </c>
      <c r="K301" s="177">
        <v>12</v>
      </c>
      <c r="L301" s="188" t="s">
        <v>122</v>
      </c>
      <c r="M301" s="179"/>
      <c r="N301" s="177"/>
      <c r="O301" s="188"/>
      <c r="P301" s="177"/>
      <c r="Q301" s="188"/>
      <c r="R301" s="177" t="s">
        <v>93</v>
      </c>
      <c r="S301" s="182">
        <v>4800000</v>
      </c>
    </row>
    <row r="302" spans="1:19" s="52" customFormat="1" ht="18" customHeight="1">
      <c r="A302" s="49"/>
      <c r="B302" s="50"/>
      <c r="C302" s="65"/>
      <c r="D302" s="49"/>
      <c r="E302" s="50"/>
      <c r="F302" s="51"/>
      <c r="G302" s="38" t="s">
        <v>329</v>
      </c>
      <c r="H302" s="177">
        <v>465820</v>
      </c>
      <c r="I302" s="177" t="s">
        <v>21</v>
      </c>
      <c r="J302" s="179" t="s">
        <v>5</v>
      </c>
      <c r="K302" s="177">
        <v>12</v>
      </c>
      <c r="L302" s="188" t="s">
        <v>25</v>
      </c>
      <c r="M302" s="179"/>
      <c r="N302" s="177"/>
      <c r="O302" s="188"/>
      <c r="P302" s="177"/>
      <c r="Q302" s="188"/>
      <c r="R302" s="177" t="s">
        <v>18</v>
      </c>
      <c r="S302" s="176">
        <v>5589840</v>
      </c>
    </row>
    <row r="303" spans="1:19" s="52" customFormat="1" ht="18" customHeight="1">
      <c r="A303" s="49"/>
      <c r="B303" s="50"/>
      <c r="C303" s="65"/>
      <c r="D303" s="49"/>
      <c r="E303" s="50"/>
      <c r="F303" s="51"/>
      <c r="G303" s="38" t="s">
        <v>366</v>
      </c>
      <c r="H303" s="177">
        <v>650830</v>
      </c>
      <c r="I303" s="235" t="s">
        <v>357</v>
      </c>
      <c r="J303" s="179" t="s">
        <v>5</v>
      </c>
      <c r="K303" s="177">
        <v>12</v>
      </c>
      <c r="L303" s="272" t="s">
        <v>25</v>
      </c>
      <c r="M303" s="179"/>
      <c r="N303" s="177"/>
      <c r="O303" s="188"/>
      <c r="P303" s="177"/>
      <c r="Q303" s="188"/>
      <c r="R303" s="235" t="s">
        <v>358</v>
      </c>
      <c r="S303" s="176">
        <v>7810000</v>
      </c>
    </row>
    <row r="304" spans="1:19" s="52" customFormat="1" ht="18" customHeight="1">
      <c r="A304" s="49"/>
      <c r="B304" s="50"/>
      <c r="C304" s="65"/>
      <c r="D304" s="49"/>
      <c r="E304" s="50"/>
      <c r="F304" s="51"/>
      <c r="G304" s="38" t="s">
        <v>284</v>
      </c>
      <c r="H304" s="177">
        <v>158270</v>
      </c>
      <c r="I304" s="177" t="s">
        <v>21</v>
      </c>
      <c r="J304" s="179" t="s">
        <v>5</v>
      </c>
      <c r="K304" s="177">
        <v>12</v>
      </c>
      <c r="L304" s="188" t="s">
        <v>25</v>
      </c>
      <c r="M304" s="179"/>
      <c r="N304" s="177"/>
      <c r="O304" s="188"/>
      <c r="P304" s="177"/>
      <c r="Q304" s="188"/>
      <c r="R304" s="177" t="s">
        <v>93</v>
      </c>
      <c r="S304" s="176">
        <v>1899230</v>
      </c>
    </row>
    <row r="305" spans="1:19" s="52" customFormat="1" ht="18" customHeight="1">
      <c r="A305" s="49"/>
      <c r="B305" s="50"/>
      <c r="C305" s="65"/>
      <c r="D305" s="49"/>
      <c r="E305" s="50"/>
      <c r="F305" s="51"/>
      <c r="G305" s="38" t="s">
        <v>285</v>
      </c>
      <c r="H305" s="177">
        <v>641590</v>
      </c>
      <c r="I305" s="177" t="s">
        <v>118</v>
      </c>
      <c r="J305" s="179" t="s">
        <v>5</v>
      </c>
      <c r="K305" s="177">
        <v>12</v>
      </c>
      <c r="L305" s="188" t="s">
        <v>25</v>
      </c>
      <c r="M305" s="179"/>
      <c r="N305" s="177"/>
      <c r="O305" s="188"/>
      <c r="P305" s="177"/>
      <c r="Q305" s="188"/>
      <c r="R305" s="177" t="s">
        <v>18</v>
      </c>
      <c r="S305" s="176">
        <v>7699040</v>
      </c>
    </row>
    <row r="306" spans="1:19" s="52" customFormat="1" ht="18" customHeight="1">
      <c r="A306" s="49"/>
      <c r="B306" s="50"/>
      <c r="C306" s="65"/>
      <c r="D306" s="49"/>
      <c r="E306" s="50"/>
      <c r="F306" s="51"/>
      <c r="G306" s="38" t="s">
        <v>400</v>
      </c>
      <c r="H306" s="177">
        <v>23960</v>
      </c>
      <c r="I306" s="177" t="s">
        <v>118</v>
      </c>
      <c r="J306" s="179" t="s">
        <v>5</v>
      </c>
      <c r="K306" s="177">
        <v>173</v>
      </c>
      <c r="L306" s="188" t="s">
        <v>92</v>
      </c>
      <c r="M306" s="179" t="s">
        <v>5</v>
      </c>
      <c r="N306" s="177">
        <v>12</v>
      </c>
      <c r="O306" s="188" t="s">
        <v>122</v>
      </c>
      <c r="P306" s="177"/>
      <c r="Q306" s="188"/>
      <c r="R306" s="177" t="s">
        <v>93</v>
      </c>
      <c r="S306" s="182">
        <v>49773210</v>
      </c>
    </row>
    <row r="307" spans="1:19" s="52" customFormat="1" ht="18" customHeight="1">
      <c r="A307" s="49"/>
      <c r="B307" s="50"/>
      <c r="C307" s="65"/>
      <c r="D307" s="49"/>
      <c r="E307" s="50"/>
      <c r="F307" s="51"/>
      <c r="G307" s="38" t="s">
        <v>452</v>
      </c>
      <c r="H307" s="52">
        <v>1159330</v>
      </c>
      <c r="I307" s="235" t="s">
        <v>21</v>
      </c>
      <c r="J307" s="179" t="s">
        <v>5</v>
      </c>
      <c r="K307" s="177">
        <v>12</v>
      </c>
      <c r="L307" s="188" t="s">
        <v>25</v>
      </c>
      <c r="M307" s="179" t="s">
        <v>5</v>
      </c>
      <c r="N307" s="177">
        <v>4</v>
      </c>
      <c r="O307" s="272" t="s">
        <v>402</v>
      </c>
      <c r="P307" s="177"/>
      <c r="Q307" s="188"/>
      <c r="R307" s="177"/>
      <c r="S307" s="182">
        <v>55647680</v>
      </c>
    </row>
    <row r="308" spans="1:19" s="52" customFormat="1" ht="18" customHeight="1" hidden="1">
      <c r="A308" s="49"/>
      <c r="B308" s="50"/>
      <c r="C308" s="65"/>
      <c r="D308" s="49"/>
      <c r="E308" s="50"/>
      <c r="F308" s="51"/>
      <c r="G308" s="38" t="s">
        <v>400</v>
      </c>
      <c r="H308" s="177"/>
      <c r="I308" s="177"/>
      <c r="J308" s="179"/>
      <c r="K308" s="177"/>
      <c r="L308" s="188"/>
      <c r="M308" s="179"/>
      <c r="N308" s="177"/>
      <c r="O308" s="188"/>
      <c r="P308" s="177"/>
      <c r="Q308" s="188"/>
      <c r="R308" s="177"/>
      <c r="S308" s="176"/>
    </row>
    <row r="309" spans="1:19" s="52" customFormat="1" ht="18" customHeight="1" hidden="1">
      <c r="A309" s="49"/>
      <c r="B309" s="50"/>
      <c r="C309" s="65"/>
      <c r="D309" s="49"/>
      <c r="E309" s="50"/>
      <c r="F309" s="51"/>
      <c r="G309" s="38" t="s">
        <v>400</v>
      </c>
      <c r="H309" s="187" t="e">
        <f>S309/SUM('[1]세입'!$D$37*1000)</f>
        <v>#REF!</v>
      </c>
      <c r="I309" s="177"/>
      <c r="J309" s="177"/>
      <c r="K309" s="177"/>
      <c r="L309" s="188"/>
      <c r="M309" s="177"/>
      <c r="N309" s="177"/>
      <c r="O309" s="188"/>
      <c r="P309" s="177"/>
      <c r="Q309" s="188"/>
      <c r="R309" s="177"/>
      <c r="S309" s="55">
        <f>SUM(S310)</f>
        <v>0</v>
      </c>
    </row>
    <row r="310" spans="1:19" s="52" customFormat="1" ht="18" customHeight="1" hidden="1">
      <c r="A310" s="49"/>
      <c r="B310" s="50"/>
      <c r="C310" s="65"/>
      <c r="D310" s="49"/>
      <c r="E310" s="50"/>
      <c r="F310" s="51"/>
      <c r="G310" s="38" t="s">
        <v>400</v>
      </c>
      <c r="H310" s="177"/>
      <c r="I310" s="177" t="s">
        <v>118</v>
      </c>
      <c r="J310" s="179" t="s">
        <v>5</v>
      </c>
      <c r="K310" s="177"/>
      <c r="L310" s="177" t="s">
        <v>120</v>
      </c>
      <c r="M310" s="177"/>
      <c r="N310" s="177"/>
      <c r="O310" s="177"/>
      <c r="P310" s="177"/>
      <c r="Q310" s="177"/>
      <c r="R310" s="177" t="s">
        <v>93</v>
      </c>
      <c r="S310" s="176">
        <f>ROUNDUP(H310*K310,-3)</f>
        <v>0</v>
      </c>
    </row>
    <row r="311" spans="1:19" s="52" customFormat="1" ht="18" customHeight="1" hidden="1">
      <c r="A311" s="49"/>
      <c r="B311" s="50"/>
      <c r="C311" s="65"/>
      <c r="D311" s="49"/>
      <c r="E311" s="50"/>
      <c r="F311" s="51"/>
      <c r="G311" s="38" t="s">
        <v>400</v>
      </c>
      <c r="H311" s="177"/>
      <c r="I311" s="177"/>
      <c r="J311" s="179"/>
      <c r="K311" s="177"/>
      <c r="L311" s="177"/>
      <c r="M311" s="177"/>
      <c r="N311" s="177"/>
      <c r="O311" s="177"/>
      <c r="P311" s="177"/>
      <c r="Q311" s="177"/>
      <c r="R311" s="177"/>
      <c r="S311" s="176"/>
    </row>
    <row r="312" spans="1:19" s="52" customFormat="1" ht="18" customHeight="1" hidden="1">
      <c r="A312" s="49"/>
      <c r="B312" s="50"/>
      <c r="C312" s="65"/>
      <c r="D312" s="49"/>
      <c r="E312" s="50"/>
      <c r="F312" s="51"/>
      <c r="G312" s="38" t="s">
        <v>400</v>
      </c>
      <c r="H312" s="187" t="e">
        <f>S312/SUM('[1]세입'!$D$37*1000)</f>
        <v>#REF!</v>
      </c>
      <c r="I312" s="177"/>
      <c r="J312" s="177"/>
      <c r="K312" s="177"/>
      <c r="L312" s="188"/>
      <c r="M312" s="177"/>
      <c r="N312" s="177"/>
      <c r="O312" s="188"/>
      <c r="P312" s="177"/>
      <c r="Q312" s="188"/>
      <c r="R312" s="177"/>
      <c r="S312" s="55">
        <f>SUM(S313:S319)</f>
        <v>0</v>
      </c>
    </row>
    <row r="313" spans="1:19" s="52" customFormat="1" ht="18" customHeight="1" hidden="1">
      <c r="A313" s="49"/>
      <c r="B313" s="50"/>
      <c r="C313" s="65"/>
      <c r="D313" s="49"/>
      <c r="E313" s="50"/>
      <c r="F313" s="51"/>
      <c r="G313" s="38" t="s">
        <v>400</v>
      </c>
      <c r="H313" s="177"/>
      <c r="I313" s="177" t="s">
        <v>118</v>
      </c>
      <c r="J313" s="179" t="s">
        <v>5</v>
      </c>
      <c r="K313" s="177">
        <v>12</v>
      </c>
      <c r="L313" s="177" t="s">
        <v>121</v>
      </c>
      <c r="M313" s="177"/>
      <c r="N313" s="191"/>
      <c r="O313" s="177"/>
      <c r="P313" s="191"/>
      <c r="Q313" s="177"/>
      <c r="R313" s="177" t="s">
        <v>93</v>
      </c>
      <c r="S313" s="176">
        <f aca="true" t="shared" si="1" ref="S313:S319">H313*K313</f>
        <v>0</v>
      </c>
    </row>
    <row r="314" spans="1:19" s="52" customFormat="1" ht="18" customHeight="1" hidden="1">
      <c r="A314" s="49"/>
      <c r="B314" s="50"/>
      <c r="C314" s="65"/>
      <c r="D314" s="49"/>
      <c r="E314" s="50"/>
      <c r="F314" s="51"/>
      <c r="G314" s="38" t="s">
        <v>400</v>
      </c>
      <c r="H314" s="177"/>
      <c r="I314" s="177" t="s">
        <v>118</v>
      </c>
      <c r="J314" s="179" t="s">
        <v>5</v>
      </c>
      <c r="K314" s="177">
        <v>5</v>
      </c>
      <c r="L314" s="177" t="s">
        <v>119</v>
      </c>
      <c r="M314" s="177"/>
      <c r="N314" s="177"/>
      <c r="O314" s="177"/>
      <c r="P314" s="177"/>
      <c r="Q314" s="177"/>
      <c r="R314" s="177" t="s">
        <v>93</v>
      </c>
      <c r="S314" s="176">
        <f t="shared" si="1"/>
        <v>0</v>
      </c>
    </row>
    <row r="315" spans="1:19" s="52" customFormat="1" ht="18" customHeight="1" hidden="1">
      <c r="A315" s="49"/>
      <c r="B315" s="50"/>
      <c r="C315" s="65"/>
      <c r="D315" s="49"/>
      <c r="E315" s="50"/>
      <c r="F315" s="51"/>
      <c r="G315" s="38" t="s">
        <v>400</v>
      </c>
      <c r="H315" s="177"/>
      <c r="I315" s="177" t="s">
        <v>118</v>
      </c>
      <c r="J315" s="179" t="s">
        <v>5</v>
      </c>
      <c r="K315" s="177">
        <v>2</v>
      </c>
      <c r="L315" s="177" t="s">
        <v>119</v>
      </c>
      <c r="M315" s="177"/>
      <c r="N315" s="177"/>
      <c r="O315" s="177"/>
      <c r="P315" s="177"/>
      <c r="Q315" s="177"/>
      <c r="R315" s="177" t="s">
        <v>93</v>
      </c>
      <c r="S315" s="176">
        <f t="shared" si="1"/>
        <v>0</v>
      </c>
    </row>
    <row r="316" spans="1:19" s="52" customFormat="1" ht="18" customHeight="1" hidden="1">
      <c r="A316" s="49"/>
      <c r="B316" s="50"/>
      <c r="C316" s="65"/>
      <c r="D316" s="49"/>
      <c r="E316" s="50"/>
      <c r="F316" s="51"/>
      <c r="G316" s="38" t="s">
        <v>400</v>
      </c>
      <c r="H316" s="177"/>
      <c r="I316" s="177" t="s">
        <v>118</v>
      </c>
      <c r="J316" s="179" t="s">
        <v>5</v>
      </c>
      <c r="K316" s="177">
        <v>5</v>
      </c>
      <c r="L316" s="177" t="s">
        <v>119</v>
      </c>
      <c r="M316" s="179" t="s">
        <v>95</v>
      </c>
      <c r="N316" s="177" t="s">
        <v>95</v>
      </c>
      <c r="O316" s="177" t="s">
        <v>95</v>
      </c>
      <c r="P316" s="177" t="s">
        <v>95</v>
      </c>
      <c r="Q316" s="177" t="s">
        <v>95</v>
      </c>
      <c r="R316" s="177" t="s">
        <v>93</v>
      </c>
      <c r="S316" s="176">
        <f t="shared" si="1"/>
        <v>0</v>
      </c>
    </row>
    <row r="317" spans="1:19" s="52" customFormat="1" ht="18" customHeight="1" hidden="1">
      <c r="A317" s="49"/>
      <c r="B317" s="50"/>
      <c r="C317" s="65"/>
      <c r="D317" s="49"/>
      <c r="E317" s="50"/>
      <c r="F317" s="51"/>
      <c r="G317" s="38" t="s">
        <v>400</v>
      </c>
      <c r="H317" s="177"/>
      <c r="I317" s="177" t="s">
        <v>118</v>
      </c>
      <c r="J317" s="179" t="s">
        <v>5</v>
      </c>
      <c r="K317" s="177">
        <v>4</v>
      </c>
      <c r="L317" s="177" t="s">
        <v>119</v>
      </c>
      <c r="M317" s="177"/>
      <c r="N317" s="191"/>
      <c r="O317" s="177"/>
      <c r="P317" s="191"/>
      <c r="Q317" s="177"/>
      <c r="R317" s="177" t="s">
        <v>93</v>
      </c>
      <c r="S317" s="176">
        <f t="shared" si="1"/>
        <v>0</v>
      </c>
    </row>
    <row r="318" spans="1:19" s="52" customFormat="1" ht="18" customHeight="1" hidden="1">
      <c r="A318" s="49"/>
      <c r="B318" s="50"/>
      <c r="C318" s="65"/>
      <c r="D318" s="49"/>
      <c r="E318" s="50"/>
      <c r="F318" s="51"/>
      <c r="G318" s="38" t="s">
        <v>400</v>
      </c>
      <c r="H318" s="177"/>
      <c r="I318" s="177" t="s">
        <v>118</v>
      </c>
      <c r="J318" s="179" t="s">
        <v>5</v>
      </c>
      <c r="K318" s="196">
        <v>1</v>
      </c>
      <c r="L318" s="177" t="s">
        <v>119</v>
      </c>
      <c r="M318" s="177"/>
      <c r="N318" s="177"/>
      <c r="O318" s="177"/>
      <c r="P318" s="177"/>
      <c r="Q318" s="177"/>
      <c r="R318" s="177" t="s">
        <v>93</v>
      </c>
      <c r="S318" s="176">
        <f t="shared" si="1"/>
        <v>0</v>
      </c>
    </row>
    <row r="319" spans="1:19" s="52" customFormat="1" ht="18" customHeight="1" hidden="1">
      <c r="A319" s="49"/>
      <c r="B319" s="50"/>
      <c r="C319" s="65"/>
      <c r="D319" s="49"/>
      <c r="E319" s="50"/>
      <c r="F319" s="51"/>
      <c r="G319" s="38" t="s">
        <v>400</v>
      </c>
      <c r="H319" s="177"/>
      <c r="I319" s="177" t="s">
        <v>118</v>
      </c>
      <c r="J319" s="179" t="s">
        <v>5</v>
      </c>
      <c r="K319" s="196">
        <v>1</v>
      </c>
      <c r="L319" s="177" t="s">
        <v>119</v>
      </c>
      <c r="M319" s="177"/>
      <c r="N319" s="177"/>
      <c r="O319" s="177"/>
      <c r="P319" s="177"/>
      <c r="Q319" s="177"/>
      <c r="R319" s="177" t="s">
        <v>93</v>
      </c>
      <c r="S319" s="176">
        <f t="shared" si="1"/>
        <v>0</v>
      </c>
    </row>
    <row r="320" spans="1:19" s="52" customFormat="1" ht="18" customHeight="1">
      <c r="A320" s="49"/>
      <c r="B320" s="50"/>
      <c r="C320" s="65"/>
      <c r="D320" s="49"/>
      <c r="E320" s="50"/>
      <c r="F320" s="51"/>
      <c r="G320" s="38" t="s">
        <v>453</v>
      </c>
      <c r="H320" s="177">
        <v>10000</v>
      </c>
      <c r="I320" s="177" t="s">
        <v>21</v>
      </c>
      <c r="J320" s="179" t="s">
        <v>5</v>
      </c>
      <c r="K320" s="177">
        <v>173.5</v>
      </c>
      <c r="L320" s="188" t="s">
        <v>26</v>
      </c>
      <c r="M320" s="179" t="s">
        <v>5</v>
      </c>
      <c r="N320" s="177">
        <v>12</v>
      </c>
      <c r="O320" s="188" t="s">
        <v>25</v>
      </c>
      <c r="P320" s="177"/>
      <c r="Q320" s="177"/>
      <c r="R320" s="177"/>
      <c r="S320" s="176">
        <v>20830000</v>
      </c>
    </row>
    <row r="321" spans="1:20" s="52" customFormat="1" ht="18" customHeight="1">
      <c r="A321" s="49"/>
      <c r="B321" s="50"/>
      <c r="C321" s="65"/>
      <c r="D321" s="49"/>
      <c r="E321" s="50"/>
      <c r="F321" s="51"/>
      <c r="G321" s="183"/>
      <c r="H321" s="184" t="s">
        <v>94</v>
      </c>
      <c r="I321" s="184"/>
      <c r="J321" s="184"/>
      <c r="K321" s="197"/>
      <c r="L321" s="184"/>
      <c r="M321" s="184"/>
      <c r="N321" s="184"/>
      <c r="O321" s="184"/>
      <c r="P321" s="184"/>
      <c r="Q321" s="184"/>
      <c r="R321" s="184"/>
      <c r="S321" s="186">
        <f>SUM(S301:S320)</f>
        <v>154049000</v>
      </c>
      <c r="T321" s="198"/>
    </row>
    <row r="322" spans="1:19" ht="18" customHeight="1">
      <c r="A322" s="340" t="s">
        <v>23</v>
      </c>
      <c r="B322" s="341"/>
      <c r="C322" s="400"/>
      <c r="D322" s="160">
        <f>D6+D139+D245+D252+D256</f>
        <v>1468107</v>
      </c>
      <c r="E322" s="160">
        <f>E6+E139+E245+E252+E256</f>
        <v>1343553</v>
      </c>
      <c r="F322" s="160">
        <f>F6+F139+F245+F252+F256</f>
        <v>124554</v>
      </c>
      <c r="G322" s="161"/>
      <c r="H322" s="158"/>
      <c r="I322" s="158"/>
      <c r="J322" s="158"/>
      <c r="K322" s="158"/>
      <c r="L322" s="162"/>
      <c r="M322" s="158"/>
      <c r="N322" s="158"/>
      <c r="O322" s="162"/>
      <c r="P322" s="158"/>
      <c r="Q322" s="162"/>
      <c r="R322" s="158"/>
      <c r="S322" s="159"/>
    </row>
    <row r="323" spans="7:19" ht="18" customHeight="1">
      <c r="G323" s="102"/>
      <c r="H323" s="103"/>
      <c r="I323" s="103"/>
      <c r="J323" s="103"/>
      <c r="K323" s="103"/>
      <c r="L323" s="104"/>
      <c r="M323" s="103"/>
      <c r="N323" s="103"/>
      <c r="O323" s="104"/>
      <c r="P323" s="103"/>
      <c r="Q323" s="104"/>
      <c r="R323" s="103"/>
      <c r="S323" s="102"/>
    </row>
    <row r="324" spans="7:19" ht="18" customHeight="1">
      <c r="G324" s="102"/>
      <c r="H324" s="103"/>
      <c r="I324" s="103"/>
      <c r="J324" s="103"/>
      <c r="K324" s="103"/>
      <c r="L324" s="104"/>
      <c r="M324" s="103"/>
      <c r="N324" s="103"/>
      <c r="O324" s="104"/>
      <c r="P324" s="103"/>
      <c r="Q324" s="104"/>
      <c r="R324" s="103"/>
      <c r="S324" s="102"/>
    </row>
    <row r="325" spans="7:19" ht="18" customHeight="1">
      <c r="G325" s="102"/>
      <c r="H325" s="103"/>
      <c r="I325" s="103"/>
      <c r="J325" s="103"/>
      <c r="K325" s="103"/>
      <c r="L325" s="104"/>
      <c r="M325" s="103"/>
      <c r="N325" s="103"/>
      <c r="O325" s="104"/>
      <c r="P325" s="103"/>
      <c r="Q325" s="104"/>
      <c r="R325" s="103"/>
      <c r="S325" s="102"/>
    </row>
    <row r="326" spans="7:19" ht="18" customHeight="1">
      <c r="G326" s="102"/>
      <c r="H326" s="103"/>
      <c r="I326" s="103"/>
      <c r="J326" s="103"/>
      <c r="K326" s="103"/>
      <c r="L326" s="104"/>
      <c r="M326" s="103"/>
      <c r="N326" s="103"/>
      <c r="O326" s="104"/>
      <c r="P326" s="103"/>
      <c r="Q326" s="104"/>
      <c r="R326" s="103"/>
      <c r="S326" s="102"/>
    </row>
    <row r="327" spans="7:19" ht="18" customHeight="1">
      <c r="G327" s="102"/>
      <c r="H327" s="103"/>
      <c r="I327" s="103"/>
      <c r="J327" s="103"/>
      <c r="K327" s="103"/>
      <c r="L327" s="104"/>
      <c r="M327" s="103"/>
      <c r="N327" s="103"/>
      <c r="O327" s="104"/>
      <c r="P327" s="103"/>
      <c r="Q327" s="104"/>
      <c r="R327" s="103"/>
      <c r="S327" s="102"/>
    </row>
    <row r="328" spans="7:19" ht="18" customHeight="1">
      <c r="G328" s="102"/>
      <c r="H328" s="103"/>
      <c r="I328" s="103"/>
      <c r="J328" s="103"/>
      <c r="K328" s="103"/>
      <c r="L328" s="104"/>
      <c r="M328" s="103"/>
      <c r="N328" s="103"/>
      <c r="O328" s="104"/>
      <c r="P328" s="103"/>
      <c r="Q328" s="104"/>
      <c r="R328" s="103"/>
      <c r="S328" s="102"/>
    </row>
    <row r="329" spans="7:19" ht="18" customHeight="1">
      <c r="G329" s="102"/>
      <c r="H329" s="103"/>
      <c r="I329" s="103"/>
      <c r="J329" s="103"/>
      <c r="K329" s="103"/>
      <c r="L329" s="104"/>
      <c r="M329" s="103"/>
      <c r="N329" s="103"/>
      <c r="O329" s="104"/>
      <c r="P329" s="103"/>
      <c r="Q329" s="104"/>
      <c r="R329" s="103"/>
      <c r="S329" s="102"/>
    </row>
    <row r="330" spans="7:19" ht="18" customHeight="1">
      <c r="G330" s="102"/>
      <c r="H330" s="103"/>
      <c r="I330" s="103"/>
      <c r="J330" s="103"/>
      <c r="K330" s="103"/>
      <c r="L330" s="104"/>
      <c r="M330" s="103"/>
      <c r="N330" s="103"/>
      <c r="O330" s="104"/>
      <c r="P330" s="103"/>
      <c r="Q330" s="104"/>
      <c r="R330" s="103"/>
      <c r="S330" s="102"/>
    </row>
    <row r="331" spans="7:19" ht="18" customHeight="1">
      <c r="G331" s="102"/>
      <c r="H331" s="103"/>
      <c r="I331" s="103"/>
      <c r="J331" s="103"/>
      <c r="K331" s="103"/>
      <c r="L331" s="104"/>
      <c r="M331" s="103"/>
      <c r="N331" s="103"/>
      <c r="O331" s="104"/>
      <c r="P331" s="103"/>
      <c r="Q331" s="104"/>
      <c r="R331" s="103"/>
      <c r="S331" s="102"/>
    </row>
    <row r="332" spans="7:19" ht="18" customHeight="1">
      <c r="G332" s="102"/>
      <c r="H332" s="103"/>
      <c r="I332" s="103"/>
      <c r="J332" s="103"/>
      <c r="K332" s="103"/>
      <c r="L332" s="104"/>
      <c r="M332" s="103"/>
      <c r="N332" s="103"/>
      <c r="O332" s="104"/>
      <c r="P332" s="103"/>
      <c r="Q332" s="104"/>
      <c r="R332" s="103"/>
      <c r="S332" s="102"/>
    </row>
    <row r="333" spans="7:19" ht="18" customHeight="1">
      <c r="G333" s="102"/>
      <c r="H333" s="103"/>
      <c r="I333" s="103"/>
      <c r="J333" s="103"/>
      <c r="K333" s="103"/>
      <c r="L333" s="104"/>
      <c r="M333" s="103"/>
      <c r="N333" s="103"/>
      <c r="O333" s="104"/>
      <c r="P333" s="103"/>
      <c r="Q333" s="104"/>
      <c r="R333" s="103"/>
      <c r="S333" s="102"/>
    </row>
    <row r="334" spans="7:19" ht="18" customHeight="1">
      <c r="G334" s="102"/>
      <c r="H334" s="103"/>
      <c r="I334" s="103"/>
      <c r="J334" s="103"/>
      <c r="K334" s="103"/>
      <c r="L334" s="104"/>
      <c r="M334" s="103"/>
      <c r="N334" s="103"/>
      <c r="O334" s="104"/>
      <c r="P334" s="103"/>
      <c r="Q334" s="104"/>
      <c r="R334" s="103"/>
      <c r="S334" s="102"/>
    </row>
    <row r="335" spans="7:19" ht="18" customHeight="1">
      <c r="G335" s="102"/>
      <c r="H335" s="103"/>
      <c r="I335" s="103"/>
      <c r="J335" s="103"/>
      <c r="K335" s="103"/>
      <c r="L335" s="104"/>
      <c r="M335" s="103"/>
      <c r="N335" s="103"/>
      <c r="O335" s="104"/>
      <c r="P335" s="103"/>
      <c r="Q335" s="104"/>
      <c r="R335" s="103"/>
      <c r="S335" s="102"/>
    </row>
    <row r="336" spans="7:19" ht="18" customHeight="1">
      <c r="G336" s="102"/>
      <c r="H336" s="103"/>
      <c r="I336" s="103"/>
      <c r="J336" s="103"/>
      <c r="K336" s="103"/>
      <c r="L336" s="104"/>
      <c r="M336" s="103"/>
      <c r="N336" s="103"/>
      <c r="O336" s="104"/>
      <c r="P336" s="103"/>
      <c r="Q336" s="104"/>
      <c r="R336" s="103"/>
      <c r="S336" s="102"/>
    </row>
  </sheetData>
  <sheetProtection/>
  <mergeCells count="53">
    <mergeCell ref="G44:R44"/>
    <mergeCell ref="A6:C6"/>
    <mergeCell ref="B7:C7"/>
    <mergeCell ref="B19:C19"/>
    <mergeCell ref="G65:R65"/>
    <mergeCell ref="E4:E5"/>
    <mergeCell ref="F4:F5"/>
    <mergeCell ref="G56:R56"/>
    <mergeCell ref="G18:R18"/>
    <mergeCell ref="D4:D5"/>
    <mergeCell ref="A4:C4"/>
    <mergeCell ref="A322:C322"/>
    <mergeCell ref="B253:C253"/>
    <mergeCell ref="A252:C252"/>
    <mergeCell ref="A245:C245"/>
    <mergeCell ref="B246:C246"/>
    <mergeCell ref="A256:C256"/>
    <mergeCell ref="G4:S5"/>
    <mergeCell ref="G6:S6"/>
    <mergeCell ref="G7:S7"/>
    <mergeCell ref="G36:R36"/>
    <mergeCell ref="G15:R15"/>
    <mergeCell ref="G11:R11"/>
    <mergeCell ref="G138:R138"/>
    <mergeCell ref="G114:R114"/>
    <mergeCell ref="G110:R110"/>
    <mergeCell ref="G127:R127"/>
    <mergeCell ref="B257:C257"/>
    <mergeCell ref="B57:C57"/>
    <mergeCell ref="G227:R227"/>
    <mergeCell ref="G232:R232"/>
    <mergeCell ref="G240:R240"/>
    <mergeCell ref="G244:R244"/>
    <mergeCell ref="G220:R220"/>
    <mergeCell ref="G70:R70"/>
    <mergeCell ref="B66:C66"/>
    <mergeCell ref="G76:R76"/>
    <mergeCell ref="G83:R83"/>
    <mergeCell ref="G80:R80"/>
    <mergeCell ref="G86:R86"/>
    <mergeCell ref="G98:R98"/>
    <mergeCell ref="G118:R118"/>
    <mergeCell ref="G123:R123"/>
    <mergeCell ref="A1:S1"/>
    <mergeCell ref="B249:C249"/>
    <mergeCell ref="G237:R237"/>
    <mergeCell ref="B99:C99"/>
    <mergeCell ref="G215:R215"/>
    <mergeCell ref="B140:C140"/>
    <mergeCell ref="A139:C139"/>
    <mergeCell ref="B221:C221"/>
    <mergeCell ref="G135:R135"/>
    <mergeCell ref="G105:R105"/>
  </mergeCells>
  <printOptions horizontalCentered="1"/>
  <pageMargins left="0.3937007874015748" right="0.3937007874015748" top="0.6299212598425197" bottom="0.4330708661417323" header="0.5118110236220472" footer="0.3937007874015748"/>
  <pageSetup fitToHeight="0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여천고등학교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2001년 학교회계 예산서</dc:title>
  <dc:subject/>
  <dc:creator>행정실</dc:creator>
  <cp:keywords/>
  <dc:description/>
  <cp:lastModifiedBy>user</cp:lastModifiedBy>
  <cp:lastPrinted>2018-02-20T13:54:06Z</cp:lastPrinted>
  <dcterms:created xsi:type="dcterms:W3CDTF">2000-12-01T23:43:26Z</dcterms:created>
  <dcterms:modified xsi:type="dcterms:W3CDTF">2018-02-21T09:01:17Z</dcterms:modified>
  <cp:category/>
  <cp:version/>
  <cp:contentType/>
  <cp:contentStatus/>
</cp:coreProperties>
</file>