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400" windowHeight="6465" tabRatio="641" activeTab="8"/>
  </bookViews>
  <sheets>
    <sheet name="표지" sheetId="1" r:id="rId1"/>
    <sheet name="목차" sheetId="2" r:id="rId2"/>
    <sheet name="총괄표" sheetId="3" r:id="rId3"/>
    <sheet name="총칙" sheetId="4" r:id="rId4"/>
    <sheet name="관별 내역" sheetId="5" r:id="rId5"/>
    <sheet name="예산총괄표" sheetId="6" r:id="rId6"/>
    <sheet name="세입" sheetId="7" r:id="rId7"/>
    <sheet name="세출" sheetId="8" r:id="rId8"/>
    <sheet name="성질" sheetId="9" r:id="rId9"/>
  </sheets>
  <externalReferences>
    <externalReference r:id="rId12"/>
  </externalReferences>
  <definedNames>
    <definedName name="_xlnm.Print_Area" localSheetId="4">'관별 내역'!$A$1:$E$22</definedName>
    <definedName name="_xlnm.Print_Area" localSheetId="6">'세입'!$A$1:$I$88</definedName>
    <definedName name="_xlnm.Print_Area" localSheetId="7">'세출'!$A$1:$S$317</definedName>
    <definedName name="_xlnm.Print_Area" localSheetId="5">'예산총괄표'!$A$1:$G$45</definedName>
    <definedName name="_xlnm.Print_Titles" localSheetId="6">'세입'!$3:$5</definedName>
    <definedName name="_xlnm.Print_Titles" localSheetId="7">'세출'!$2:$4</definedName>
    <definedName name="Z_68F178D3_0354_11D6_9F0E_00C02659FFE6_.wvu.PrintTitles" localSheetId="6" hidden="1">'세입'!$3:$5</definedName>
    <definedName name="Z_68F178D3_0354_11D6_9F0E_00C02659FFE6_.wvu.PrintTitles" localSheetId="7" hidden="1">'세출'!$2:$4</definedName>
  </definedNames>
  <calcPr fullCalcOnLoad="1"/>
</workbook>
</file>

<file path=xl/comments6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9"/>
            <rFont val="굴림"/>
            <family val="3"/>
          </rPr>
          <t>세입 세출 예산서를 작성하면 자동으로 작성됨으로 입력하지 마시오</t>
        </r>
      </text>
    </comment>
    <comment ref="D3" authorId="0">
      <text>
        <r>
          <rPr>
            <b/>
            <sz val="9"/>
            <rFont val="굴림"/>
            <family val="3"/>
          </rPr>
          <t xml:space="preserve">세입예산서가 자동으로 입력됨 </t>
        </r>
      </text>
    </comment>
    <comment ref="D25" authorId="0">
      <text>
        <r>
          <rPr>
            <b/>
            <sz val="9"/>
            <rFont val="굴림"/>
            <family val="3"/>
          </rPr>
          <t>세출예산서가 자동으로 입력됨</t>
        </r>
      </text>
    </comment>
    <comment ref="E25" authorId="0">
      <text>
        <r>
          <rPr>
            <b/>
            <sz val="9"/>
            <rFont val="굴림"/>
            <family val="3"/>
          </rPr>
          <t>세출예산서가 자동으로 입력됨</t>
        </r>
      </text>
    </comment>
  </commentList>
</comments>
</file>

<file path=xl/comments7.xml><?xml version="1.0" encoding="utf-8"?>
<comments xmlns="http://schemas.openxmlformats.org/spreadsheetml/2006/main">
  <authors>
    <author>.</author>
  </authors>
  <commentList>
    <comment ref="C30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C52" authorId="0">
      <text>
        <r>
          <rPr>
            <b/>
            <sz val="9"/>
            <rFont val="굴림"/>
            <family val="3"/>
          </rPr>
          <t>전년도 사용잔액</t>
        </r>
      </text>
    </comment>
    <comment ref="C34" authorId="0">
      <text>
        <r>
          <rPr>
            <b/>
            <sz val="9"/>
            <rFont val="굴림"/>
            <family val="3"/>
          </rPr>
          <t>교육청 지원금</t>
        </r>
      </text>
    </comment>
    <comment ref="D6" authorId="0">
      <text>
        <r>
          <rPr>
            <b/>
            <sz val="9"/>
            <rFont val="굴림"/>
            <family val="3"/>
          </rPr>
          <t>항의 예산액이 자동으로 더해지니 입력하지 마시오</t>
        </r>
      </text>
    </comment>
    <comment ref="D7" authorId="0">
      <text>
        <r>
          <rPr>
            <b/>
            <sz val="9"/>
            <rFont val="굴림"/>
            <family val="3"/>
          </rPr>
          <t>목의 예산액이 자동으로 더해지니 입력하지 마시오</t>
        </r>
      </text>
    </comment>
    <comment ref="F8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E7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F7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D21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E21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21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D3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3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3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D51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51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51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D57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57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57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D8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8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8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30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F52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F85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E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2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2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2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3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3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3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50" authorId="0">
      <text>
        <r>
          <rPr>
            <sz val="9"/>
            <rFont val="굴림"/>
            <family val="3"/>
          </rPr>
          <t xml:space="preserve">항의 예산액이 자동으로 더해짐으로 입력하지 마시오
</t>
        </r>
      </text>
    </comment>
    <comment ref="F5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5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5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5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79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79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79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88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E88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F88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C22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2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24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4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28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8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80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80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80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81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26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6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E50" authorId="0">
      <text>
        <r>
          <rPr>
            <sz val="9"/>
            <rFont val="굴림"/>
            <family val="3"/>
          </rPr>
          <t xml:space="preserve">항의 예산액이 자동으로 더해짐으로 입력하지 마시오
</t>
        </r>
      </text>
    </comment>
    <comment ref="C46" authorId="0">
      <text>
        <r>
          <rPr>
            <b/>
            <sz val="9"/>
            <rFont val="굴림"/>
            <family val="3"/>
          </rPr>
          <t>국가.시도 지원금
국가.시도 지원금</t>
        </r>
      </text>
    </comment>
    <comment ref="F62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F84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</commentList>
</comments>
</file>

<file path=xl/comments8.xml><?xml version="1.0" encoding="utf-8"?>
<comments xmlns="http://schemas.openxmlformats.org/spreadsheetml/2006/main">
  <authors>
    <author>.</author>
  </authors>
  <commentList>
    <comment ref="D11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  <comment ref="D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D5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D7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  <comment ref="E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18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55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E5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5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D15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</commentList>
</comments>
</file>

<file path=xl/comments9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9"/>
            <rFont val="굴림"/>
            <family val="3"/>
          </rPr>
          <t>세출예산서를 입력하면 자동으로 작성됨</t>
        </r>
      </text>
    </comment>
  </commentList>
</comments>
</file>

<file path=xl/sharedStrings.xml><?xml version="1.0" encoding="utf-8"?>
<sst xmlns="http://schemas.openxmlformats.org/spreadsheetml/2006/main" count="1473" uniqueCount="527">
  <si>
    <t>명</t>
  </si>
  <si>
    <t>×</t>
  </si>
  <si>
    <t>월</t>
  </si>
  <si>
    <t>원</t>
  </si>
  <si>
    <t>원</t>
  </si>
  <si>
    <t>×</t>
  </si>
  <si>
    <t>회</t>
  </si>
  <si>
    <t>구분</t>
  </si>
  <si>
    <t>과                목</t>
  </si>
  <si>
    <t>비       교
증  △  감</t>
  </si>
  <si>
    <t>1. 세   입</t>
  </si>
  <si>
    <t>(단위 : 천원)</t>
  </si>
  <si>
    <t>과                  목</t>
  </si>
  <si>
    <t>비     교
증 △ 감</t>
  </si>
  <si>
    <t>산      출        기      초  (원)</t>
  </si>
  <si>
    <t>관</t>
  </si>
  <si>
    <t>항</t>
  </si>
  <si>
    <t>목</t>
  </si>
  <si>
    <t>소                계</t>
  </si>
  <si>
    <t>=</t>
  </si>
  <si>
    <t>세   입     합   계</t>
  </si>
  <si>
    <t>2. 세   출</t>
  </si>
  <si>
    <t>월</t>
  </si>
  <si>
    <t>소                    계</t>
  </si>
  <si>
    <t>구           분</t>
  </si>
  <si>
    <t>비    고</t>
  </si>
  <si>
    <t>경비명</t>
  </si>
  <si>
    <t>세   부   구   분</t>
  </si>
  <si>
    <t>구성비</t>
  </si>
  <si>
    <t>집 행 액</t>
  </si>
  <si>
    <t>1.인건비</t>
  </si>
  <si>
    <t>합                  계</t>
  </si>
  <si>
    <t>=</t>
  </si>
  <si>
    <t>1.인건비</t>
  </si>
  <si>
    <t>=</t>
  </si>
  <si>
    <t>원</t>
  </si>
  <si>
    <t>1.예비비</t>
  </si>
  <si>
    <t>세   출     합   계</t>
  </si>
  <si>
    <t>회</t>
  </si>
  <si>
    <t>회</t>
  </si>
  <si>
    <t>월</t>
  </si>
  <si>
    <t>명</t>
  </si>
  <si>
    <t>소                        계</t>
  </si>
  <si>
    <t>×</t>
  </si>
  <si>
    <t xml:space="preserve">  ㅇ 환경개선부담금</t>
  </si>
  <si>
    <r>
      <t xml:space="preserve"> </t>
    </r>
    <r>
      <rPr>
        <sz val="10"/>
        <rFont val="바탕"/>
        <family val="1"/>
      </rPr>
      <t xml:space="preserve"> o  전기요금</t>
    </r>
  </si>
  <si>
    <r>
      <t xml:space="preserve"> </t>
    </r>
    <r>
      <rPr>
        <sz val="10"/>
        <rFont val="바탕"/>
        <family val="1"/>
      </rPr>
      <t xml:space="preserve"> ㅇ 공문발송용</t>
    </r>
    <r>
      <rPr>
        <sz val="10"/>
        <rFont val="바탕"/>
        <family val="1"/>
      </rPr>
      <t xml:space="preserve"> 우표 구입 </t>
    </r>
  </si>
  <si>
    <t xml:space="preserve">  ㅇ 상하수도요금</t>
  </si>
  <si>
    <t>1.사용료및수수료</t>
  </si>
  <si>
    <t>1.납교금</t>
  </si>
  <si>
    <t>1.입학금</t>
  </si>
  <si>
    <t xml:space="preserve">ㅇ 입학금    </t>
  </si>
  <si>
    <t>2.수업료</t>
  </si>
  <si>
    <t xml:space="preserve">ㅇ 각종증명료    </t>
  </si>
  <si>
    <t>3.증명료</t>
  </si>
  <si>
    <r>
      <t>1</t>
    </r>
    <r>
      <rPr>
        <sz val="10"/>
        <rFont val="바탕"/>
        <family val="1"/>
      </rPr>
      <t>. 국내보조금</t>
    </r>
  </si>
  <si>
    <r>
      <t>2</t>
    </r>
    <r>
      <rPr>
        <sz val="10"/>
        <rFont val="바탕"/>
        <family val="1"/>
      </rPr>
      <t>. 전입금</t>
    </r>
  </si>
  <si>
    <t>1.설립자부담금</t>
  </si>
  <si>
    <t>1.연금부담금</t>
  </si>
  <si>
    <t>3.원조보조금</t>
  </si>
  <si>
    <t>4.이월금</t>
  </si>
  <si>
    <r>
      <t>1</t>
    </r>
    <r>
      <rPr>
        <sz val="10"/>
        <rFont val="바탕"/>
        <family val="1"/>
      </rPr>
      <t>. 전년도이월금</t>
    </r>
  </si>
  <si>
    <r>
      <t>1</t>
    </r>
    <r>
      <rPr>
        <sz val="10"/>
        <rFont val="바탕"/>
        <family val="1"/>
      </rPr>
      <t>. 전년도불용액</t>
    </r>
  </si>
  <si>
    <t xml:space="preserve"> ㅇ 전년도불용액</t>
  </si>
  <si>
    <r>
      <t>1</t>
    </r>
    <r>
      <rPr>
        <sz val="10"/>
        <rFont val="바탕"/>
        <family val="1"/>
      </rPr>
      <t>. 수익자부담교육비</t>
    </r>
  </si>
  <si>
    <r>
      <t>6</t>
    </r>
    <r>
      <rPr>
        <sz val="10"/>
        <rFont val="바탕"/>
        <family val="1"/>
      </rPr>
      <t>.잡수입</t>
    </r>
  </si>
  <si>
    <r>
      <t>1</t>
    </r>
    <r>
      <rPr>
        <sz val="10"/>
        <rFont val="바탕"/>
        <family val="1"/>
      </rPr>
      <t>.예금이자</t>
    </r>
  </si>
  <si>
    <t>1.예금이자</t>
  </si>
  <si>
    <t xml:space="preserve"> ㅇ 예금이자</t>
  </si>
  <si>
    <r>
      <t>1</t>
    </r>
    <r>
      <rPr>
        <sz val="10"/>
        <rFont val="바탕"/>
        <family val="1"/>
      </rPr>
      <t>.봉급</t>
    </r>
  </si>
  <si>
    <t>1.교원봉급</t>
  </si>
  <si>
    <t>◎ 교원봉급</t>
  </si>
  <si>
    <r>
      <t>2</t>
    </r>
    <r>
      <rPr>
        <sz val="10"/>
        <rFont val="바탕"/>
        <family val="1"/>
      </rPr>
      <t>.정액수당</t>
    </r>
  </si>
  <si>
    <t>1.교원수당</t>
  </si>
  <si>
    <r>
      <t>1</t>
    </r>
    <r>
      <rPr>
        <sz val="10"/>
        <rFont val="바탕"/>
        <family val="1"/>
      </rPr>
      <t>.학교운영비</t>
    </r>
  </si>
  <si>
    <t>1학교교육비</t>
  </si>
  <si>
    <r>
      <t>2</t>
    </r>
    <r>
      <rPr>
        <sz val="10"/>
        <rFont val="바탕"/>
        <family val="1"/>
      </rPr>
      <t>.재산관리비</t>
    </r>
  </si>
  <si>
    <r>
      <t>4</t>
    </r>
    <r>
      <rPr>
        <sz val="10"/>
        <rFont val="바탕"/>
        <family val="1"/>
      </rPr>
      <t>.보건체육비</t>
    </r>
  </si>
  <si>
    <r>
      <t>1</t>
    </r>
    <r>
      <rPr>
        <sz val="10"/>
        <rFont val="바탕"/>
        <family val="1"/>
      </rPr>
      <t>.학생보건비</t>
    </r>
  </si>
  <si>
    <r>
      <t>1</t>
    </r>
    <r>
      <rPr>
        <sz val="10"/>
        <rFont val="바탕"/>
        <family val="1"/>
      </rPr>
      <t>.의료비</t>
    </r>
  </si>
  <si>
    <r>
      <t>2</t>
    </r>
    <r>
      <rPr>
        <sz val="10"/>
        <rFont val="바탕"/>
        <family val="1"/>
      </rPr>
      <t>.체력관리비</t>
    </r>
  </si>
  <si>
    <r>
      <t>1</t>
    </r>
    <r>
      <rPr>
        <sz val="10"/>
        <rFont val="바탕"/>
        <family val="1"/>
      </rPr>
      <t>.체육행사비</t>
    </r>
  </si>
  <si>
    <t>4.보건체육비</t>
  </si>
  <si>
    <t>5.예비비</t>
  </si>
  <si>
    <t>6.학교운영지원비</t>
  </si>
  <si>
    <r>
      <t>5</t>
    </r>
    <r>
      <rPr>
        <sz val="10"/>
        <rFont val="바탕"/>
        <family val="1"/>
      </rPr>
      <t>.학교운영지원비</t>
    </r>
  </si>
  <si>
    <t>=</t>
  </si>
  <si>
    <r>
      <t xml:space="preserve">소 </t>
    </r>
    <r>
      <rPr>
        <sz val="10"/>
        <rFont val="바탕"/>
        <family val="1"/>
      </rPr>
      <t xml:space="preserve">                 계</t>
    </r>
  </si>
  <si>
    <t>명</t>
  </si>
  <si>
    <t>◎ 공공요금 및 제세공과금</t>
  </si>
  <si>
    <t>◎ 체육행사비</t>
  </si>
  <si>
    <t>1.재해보상부담금</t>
  </si>
  <si>
    <t>1.건강보험부담금</t>
  </si>
  <si>
    <t>1.학교운영비</t>
  </si>
  <si>
    <t xml:space="preserve">ㅇ 교직원 연금부담금   </t>
  </si>
  <si>
    <t xml:space="preserve">ㅇ 교직원 재해보상부담금   </t>
  </si>
  <si>
    <t xml:space="preserve">ㅇ 교직원 건강보험부담금    </t>
  </si>
  <si>
    <t xml:space="preserve">ㅇ 학교운영비   </t>
  </si>
  <si>
    <t>1.특정보조금</t>
  </si>
  <si>
    <t>3. 학교급식비</t>
  </si>
  <si>
    <t xml:space="preserve"> ㅇ 급식비</t>
  </si>
  <si>
    <t xml:space="preserve"> ㅇ 간식비</t>
  </si>
  <si>
    <t>4. 기타수익자부담교육비</t>
  </si>
  <si>
    <t>2.잡수입</t>
  </si>
  <si>
    <t>1.교내재산임대료</t>
  </si>
  <si>
    <t>2.보험료</t>
  </si>
  <si>
    <t>◎ 의료비 (원아상비약품구입)</t>
  </si>
  <si>
    <t>◎ 보험료(안전공제회비)</t>
  </si>
  <si>
    <t>ㅇ 간식비</t>
  </si>
  <si>
    <t>원</t>
  </si>
  <si>
    <t>×</t>
  </si>
  <si>
    <t>명</t>
  </si>
  <si>
    <t>=</t>
  </si>
  <si>
    <t>소                         계</t>
  </si>
  <si>
    <t xml:space="preserve"> </t>
  </si>
  <si>
    <t>계</t>
  </si>
  <si>
    <t>일</t>
  </si>
  <si>
    <t>3.학교급식비</t>
  </si>
  <si>
    <t>ㅇ 급식비</t>
  </si>
  <si>
    <t>4.기타수익자부담금</t>
  </si>
  <si>
    <t>ㅇ 인건비</t>
  </si>
  <si>
    <t>ㅇ 영양사</t>
  </si>
  <si>
    <t xml:space="preserve"> ㅇ 연봉</t>
  </si>
  <si>
    <t>명</t>
  </si>
  <si>
    <t xml:space="preserve"> </t>
  </si>
  <si>
    <t xml:space="preserve"> ㅇ 연차수당 </t>
  </si>
  <si>
    <t xml:space="preserve"> ㅇ 각종보험료 </t>
  </si>
  <si>
    <t xml:space="preserve">  - 국민연금</t>
  </si>
  <si>
    <t>%</t>
  </si>
  <si>
    <t xml:space="preserve">  - 고용보험</t>
  </si>
  <si>
    <t xml:space="preserve">  - 건강보험</t>
  </si>
  <si>
    <t xml:space="preserve">  - 산재보험</t>
  </si>
  <si>
    <t xml:space="preserve"> ㅇ 퇴직적립금  </t>
  </si>
  <si>
    <t>/</t>
  </si>
  <si>
    <t>월</t>
  </si>
  <si>
    <t>ㅇ 조리사</t>
  </si>
  <si>
    <t>ㅇ 조리보조</t>
  </si>
  <si>
    <t>원</t>
  </si>
  <si>
    <t>회</t>
  </si>
  <si>
    <t>ㅁ 연료비</t>
  </si>
  <si>
    <t>- 연료비 (LPG)</t>
  </si>
  <si>
    <t>㎥</t>
  </si>
  <si>
    <t>ㅁ 운영비 (10%이내)</t>
  </si>
  <si>
    <t>- 전화요금</t>
  </si>
  <si>
    <t>월</t>
  </si>
  <si>
    <t>- 소모품 구입</t>
  </si>
  <si>
    <t>- 정수기 필터</t>
  </si>
  <si>
    <t>- 급식소 소독비</t>
  </si>
  <si>
    <t>- 가스 안전점검 수수료</t>
  </si>
  <si>
    <t>- 가스사고보험료</t>
  </si>
  <si>
    <t>- 세균검사 수수료</t>
  </si>
  <si>
    <t xml:space="preserve"> ㅇ영어회화 교재대금</t>
  </si>
  <si>
    <t>월</t>
  </si>
  <si>
    <r>
      <t>1</t>
    </r>
    <r>
      <rPr>
        <sz val="10"/>
        <rFont val="바탕"/>
        <family val="1"/>
      </rPr>
      <t>.</t>
    </r>
    <r>
      <rPr>
        <sz val="10"/>
        <rFont val="바탕"/>
        <family val="1"/>
      </rPr>
      <t>건물유지비</t>
    </r>
  </si>
  <si>
    <r>
      <t>2</t>
    </r>
    <r>
      <rPr>
        <sz val="10"/>
        <rFont val="바탕"/>
        <family val="1"/>
      </rPr>
      <t>.설비유지비</t>
    </r>
  </si>
  <si>
    <t>◎ 정근수당</t>
  </si>
  <si>
    <t>◎ 교직수당</t>
  </si>
  <si>
    <t>◎ 정근수당가산금</t>
  </si>
  <si>
    <t xml:space="preserve">    가. 25년이상</t>
  </si>
  <si>
    <t xml:space="preserve">    가. 20년-25년</t>
  </si>
  <si>
    <t>◎ 보전수당</t>
  </si>
  <si>
    <t xml:space="preserve">    가. 원감</t>
  </si>
  <si>
    <t>◎ 가족수당</t>
  </si>
  <si>
    <t xml:space="preserve">    가. 배우자</t>
  </si>
  <si>
    <t>◎ 보건활동수당</t>
  </si>
  <si>
    <r>
      <t>1</t>
    </r>
    <r>
      <rPr>
        <sz val="10"/>
        <rFont val="바탕"/>
        <family val="1"/>
      </rPr>
      <t>. 연금부담금</t>
    </r>
  </si>
  <si>
    <t xml:space="preserve"> ◎ 교원 연금부담금</t>
  </si>
  <si>
    <t>월</t>
  </si>
  <si>
    <t xml:space="preserve"> ◎ 직원 연금부담금</t>
  </si>
  <si>
    <t>2.건강보험료</t>
  </si>
  <si>
    <t>3.재해보상부담금</t>
  </si>
  <si>
    <t xml:space="preserve"> ◎ 교원 건강보험료</t>
  </si>
  <si>
    <t xml:space="preserve"> ◎ 직원 건강보험료</t>
  </si>
  <si>
    <t xml:space="preserve"> ◎ 교원 재해보상부담금</t>
  </si>
  <si>
    <t xml:space="preserve"> ◎ 직원 재해보상부담금</t>
  </si>
  <si>
    <t>2.사무원봉급</t>
  </si>
  <si>
    <t>2. 사무직정액수당</t>
  </si>
  <si>
    <t xml:space="preserve"> ◎ 급식비</t>
  </si>
  <si>
    <t xml:space="preserve"> ◎ 명절휴가비</t>
  </si>
  <si>
    <t xml:space="preserve"> ◎ 연가보상비</t>
  </si>
  <si>
    <r>
      <t>1</t>
    </r>
    <r>
      <rPr>
        <sz val="10"/>
        <rFont val="바탕"/>
        <family val="1"/>
      </rPr>
      <t>.강사료</t>
    </r>
  </si>
  <si>
    <t xml:space="preserve"> ◎ 직원시간외수당</t>
  </si>
  <si>
    <t xml:space="preserve"> ◎ 교원개인연금지원금</t>
  </si>
  <si>
    <t xml:space="preserve"> ◎ 직원개인연금지원금</t>
  </si>
  <si>
    <t xml:space="preserve"> ◎ 직원직급보조비</t>
  </si>
  <si>
    <t>2.초과근무수당</t>
  </si>
  <si>
    <t xml:space="preserve">  ㅇ 공용휴대전화료</t>
  </si>
  <si>
    <t>◎ 연료비</t>
  </si>
  <si>
    <t xml:space="preserve">  ㅇ 기타연료</t>
  </si>
  <si>
    <t>◎ 수수료</t>
  </si>
  <si>
    <t>◎ 수선비</t>
  </si>
  <si>
    <r>
      <t xml:space="preserve"> </t>
    </r>
    <r>
      <rPr>
        <sz val="10"/>
        <rFont val="바탕"/>
        <family val="1"/>
      </rPr>
      <t xml:space="preserve"> ㅇ 일반비품</t>
    </r>
    <r>
      <rPr>
        <sz val="10"/>
        <rFont val="바탕"/>
        <family val="1"/>
      </rPr>
      <t xml:space="preserve"> </t>
    </r>
  </si>
  <si>
    <t xml:space="preserve">  ㅇ 교육용품 및사무용품</t>
  </si>
  <si>
    <t>◎ 도서인쇄비</t>
  </si>
  <si>
    <t xml:space="preserve">  ㅇ 유아도서</t>
  </si>
  <si>
    <r>
      <t xml:space="preserve">  ㅇ 인쇄비</t>
    </r>
    <r>
      <rPr>
        <sz val="10"/>
        <rFont val="바탕"/>
        <family val="1"/>
      </rPr>
      <t>(간행물)</t>
    </r>
  </si>
  <si>
    <t>×</t>
  </si>
  <si>
    <t>◎ 회의비</t>
  </si>
  <si>
    <t xml:space="preserve">  ㅇ 방화관리자회비</t>
  </si>
  <si>
    <t xml:space="preserve">  ㅇ 조직활성화</t>
  </si>
  <si>
    <t>◎ 일반활동비</t>
  </si>
  <si>
    <t>◎ 복리후생비</t>
  </si>
  <si>
    <t>◎ 행사비</t>
  </si>
  <si>
    <t xml:space="preserve">  ㅇ 학생행사(입학,졸업)</t>
  </si>
  <si>
    <t>◎ 교육훈련비</t>
  </si>
  <si>
    <t>◎ 교육교재비</t>
  </si>
  <si>
    <t>◎ 보조사업비</t>
  </si>
  <si>
    <t>◎ 잡지출</t>
  </si>
  <si>
    <t>◎ 중점사업비</t>
  </si>
  <si>
    <t xml:space="preserve">  ㅇ 독서토론교육</t>
  </si>
  <si>
    <t xml:space="preserve">  ㅇ 직무연수비</t>
  </si>
  <si>
    <r>
      <t>2</t>
    </r>
    <r>
      <rPr>
        <sz val="10"/>
        <rFont val="바탕"/>
        <family val="1"/>
      </rPr>
      <t>.자산취득비</t>
    </r>
  </si>
  <si>
    <t>◎ 자산취득비</t>
  </si>
  <si>
    <t xml:space="preserve">  ㅇ 소방설비 법정안전점검</t>
  </si>
  <si>
    <t>◎ 건물유지비</t>
  </si>
  <si>
    <t xml:space="preserve">  ㅇ 소보수비</t>
  </si>
  <si>
    <t xml:space="preserve">  ㅇ 기타건물유지비</t>
  </si>
  <si>
    <t>◎ 통신협력작업비</t>
  </si>
  <si>
    <r>
      <t xml:space="preserve"> </t>
    </r>
    <r>
      <rPr>
        <sz val="10"/>
        <rFont val="바탕"/>
        <family val="1"/>
      </rPr>
      <t xml:space="preserve"> o  통신협력작업비</t>
    </r>
  </si>
  <si>
    <r>
      <t xml:space="preserve"> </t>
    </r>
    <r>
      <rPr>
        <sz val="10"/>
        <rFont val="바탕"/>
        <family val="1"/>
      </rPr>
      <t xml:space="preserve"> o  시청각설비유지비</t>
    </r>
  </si>
  <si>
    <t>◎ 녹화협력작업비</t>
  </si>
  <si>
    <r>
      <t xml:space="preserve"> </t>
    </r>
    <r>
      <rPr>
        <sz val="10"/>
        <rFont val="바탕"/>
        <family val="1"/>
      </rPr>
      <t xml:space="preserve"> o  녹화협력고정비</t>
    </r>
  </si>
  <si>
    <r>
      <t xml:space="preserve"> </t>
    </r>
    <r>
      <rPr>
        <sz val="10"/>
        <rFont val="바탕"/>
        <family val="1"/>
      </rPr>
      <t xml:space="preserve"> o  녹화협력변동비</t>
    </r>
  </si>
  <si>
    <t>수익자부담금</t>
  </si>
  <si>
    <t xml:space="preserve">ㅇ 기간제교사 퇴직금   </t>
  </si>
  <si>
    <t>1.기간제교사퇴직금</t>
  </si>
  <si>
    <t>◎ 사무원봉급</t>
  </si>
  <si>
    <t>◎ 자녀학비수당</t>
  </si>
  <si>
    <t>3. 임시직급여</t>
  </si>
  <si>
    <t>◎ 기간제교사급여</t>
  </si>
  <si>
    <t>◎ 기간제교사정액수당</t>
  </si>
  <si>
    <t>◎ 기간제교사초과근무</t>
  </si>
  <si>
    <t>◎ 기간제교사복리후생</t>
  </si>
  <si>
    <t xml:space="preserve"> ◎ 교원 노인요양보험료</t>
  </si>
  <si>
    <t xml:space="preserve"> ◎ 직원 노인요양보험료</t>
  </si>
  <si>
    <t>4.기간제퇴직부담금</t>
  </si>
  <si>
    <t>◎ 기간제퇴직부담금</t>
  </si>
  <si>
    <t>3.직급보조비</t>
  </si>
  <si>
    <t>4.교원복리후생비</t>
  </si>
  <si>
    <t>5.직원복리후생비</t>
  </si>
  <si>
    <t>6.기타수당</t>
  </si>
  <si>
    <t xml:space="preserve"> ◎ 교원성과상여금</t>
  </si>
  <si>
    <t xml:space="preserve"> ◎ 직원성과상여금</t>
  </si>
  <si>
    <t>7.재단특별수당</t>
  </si>
  <si>
    <t xml:space="preserve"> ◎ 교원유.초자녀학비수당</t>
  </si>
  <si>
    <t>3.임시직</t>
  </si>
  <si>
    <t>4.부담금</t>
  </si>
  <si>
    <t>5.기타제수당</t>
  </si>
  <si>
    <t>비     교
증 △ 감</t>
  </si>
  <si>
    <t xml:space="preserve">  ㅇ 일반전화요금</t>
  </si>
  <si>
    <r>
      <t xml:space="preserve">  ㅇ 난방비</t>
    </r>
    <r>
      <rPr>
        <sz val="10"/>
        <rFont val="바탕"/>
        <family val="1"/>
      </rPr>
      <t>(12~5)</t>
    </r>
  </si>
  <si>
    <t xml:space="preserve">  ㅇ 유틸리티사용료</t>
  </si>
  <si>
    <t xml:space="preserve">  ㅇ 무인경비수수료</t>
  </si>
  <si>
    <t xml:space="preserve">  ㅇ 방역수수료 및 기타수수료</t>
  </si>
  <si>
    <t xml:space="preserve">  ㅇ 스쿨뱅킹수수료</t>
  </si>
  <si>
    <t xml:space="preserve">  ㅇ 정수기관리</t>
  </si>
  <si>
    <t>◎ 용역비</t>
  </si>
  <si>
    <t xml:space="preserve">  ㅇ 등하교차량용역비</t>
  </si>
  <si>
    <t xml:space="preserve">  ㅇ 홈페이지보완</t>
  </si>
  <si>
    <r>
      <t xml:space="preserve">  ㅇ 전산비품</t>
    </r>
    <r>
      <rPr>
        <sz val="10"/>
        <rFont val="바탕"/>
        <family val="1"/>
      </rPr>
      <t>(PC정비)</t>
    </r>
  </si>
  <si>
    <t xml:space="preserve">  ㅇ 사립유치원월례회비</t>
  </si>
  <si>
    <t xml:space="preserve">  ㅇ 유치원총연합회비</t>
  </si>
  <si>
    <t xml:space="preserve">  ㅇ 예술제 및 학예회</t>
  </si>
  <si>
    <r>
      <t xml:space="preserve">  ㅇ 특별행사</t>
    </r>
    <r>
      <rPr>
        <sz val="10"/>
        <rFont val="바탕"/>
        <family val="1"/>
      </rPr>
      <t>(참관수업)</t>
    </r>
  </si>
  <si>
    <t xml:space="preserve">  ㅇ 기타행사비(교직원장기근속)</t>
  </si>
  <si>
    <t xml:space="preserve"> ㅇ기타교육교재비</t>
  </si>
  <si>
    <t>◎ 예비비</t>
  </si>
  <si>
    <t>2수용비</t>
  </si>
  <si>
    <t>◎ 수용재료비</t>
  </si>
  <si>
    <t>3.녹화관리비</t>
  </si>
  <si>
    <t>◎ 화재보험료</t>
  </si>
  <si>
    <t xml:space="preserve">         학교법인 포스코교육재단
         광  양  제  철  유  치  원</t>
  </si>
  <si>
    <t>목   차</t>
  </si>
  <si>
    <t xml:space="preserve"> </t>
  </si>
  <si>
    <t>3. 세입·세출 예산총괄표</t>
  </si>
  <si>
    <t>4. 세입·세출 예산명세서</t>
  </si>
  <si>
    <t>1. 예산총칙</t>
  </si>
  <si>
    <t>세입·세출 차인잔액 없음</t>
  </si>
  <si>
    <t>세                입</t>
  </si>
  <si>
    <t>세                출</t>
  </si>
  <si>
    <t>제 1 조</t>
  </si>
  <si>
    <t xml:space="preserve">제 2 조 </t>
  </si>
  <si>
    <t xml:space="preserve">제 3 조 </t>
  </si>
  <si>
    <t>(단위 : 천원)</t>
  </si>
  <si>
    <t>세         입</t>
  </si>
  <si>
    <t>입 학 금</t>
  </si>
  <si>
    <t>수 업 료</t>
  </si>
  <si>
    <t>증 명 료</t>
  </si>
  <si>
    <t>2.전입금</t>
  </si>
  <si>
    <t>연금부담금</t>
  </si>
  <si>
    <t>재해보상부담금</t>
  </si>
  <si>
    <t>건강보험부담금</t>
  </si>
  <si>
    <t>기간제교사퇴직금</t>
  </si>
  <si>
    <t>학교운영비</t>
  </si>
  <si>
    <t>국내보조금</t>
  </si>
  <si>
    <t>5.학교운영지원비</t>
  </si>
  <si>
    <t>현장학습비</t>
  </si>
  <si>
    <t>학교급식비</t>
  </si>
  <si>
    <t>기타수익자부담금</t>
  </si>
  <si>
    <t>6.잡수입</t>
  </si>
  <si>
    <t>합        계</t>
  </si>
  <si>
    <t>세       출</t>
  </si>
  <si>
    <t>봉급</t>
  </si>
  <si>
    <t>정액수당</t>
  </si>
  <si>
    <t>임시직</t>
  </si>
  <si>
    <t>부담금</t>
  </si>
  <si>
    <t>기타제수당</t>
  </si>
  <si>
    <t>2.관리운영비</t>
  </si>
  <si>
    <t>학교교육비</t>
  </si>
  <si>
    <t>자산취득비</t>
  </si>
  <si>
    <t>재산관리비</t>
  </si>
  <si>
    <t>의료비</t>
  </si>
  <si>
    <t>보건비</t>
  </si>
  <si>
    <t>체육행사비</t>
  </si>
  <si>
    <t>과목순서는 사학기관재무·회계규칙 과목해소에 의한다.</t>
  </si>
  <si>
    <t>추경예산액</t>
  </si>
  <si>
    <t>구성비</t>
  </si>
  <si>
    <r>
      <t>세입</t>
    </r>
    <r>
      <rPr>
        <b/>
        <u val="single"/>
        <sz val="25"/>
        <rFont val="Arial"/>
        <family val="2"/>
      </rPr>
      <t>·</t>
    </r>
    <r>
      <rPr>
        <b/>
        <u val="single"/>
        <sz val="25"/>
        <rFont val="굴림"/>
        <family val="3"/>
      </rPr>
      <t>세출예산</t>
    </r>
    <r>
      <rPr>
        <b/>
        <u val="single"/>
        <sz val="25"/>
        <rFont val="Arial"/>
        <family val="2"/>
      </rPr>
      <t xml:space="preserve"> </t>
    </r>
    <r>
      <rPr>
        <b/>
        <u val="single"/>
        <sz val="25"/>
        <rFont val="굴림"/>
        <family val="3"/>
      </rPr>
      <t>관별</t>
    </r>
    <r>
      <rPr>
        <b/>
        <u val="single"/>
        <sz val="25"/>
        <rFont val="Arial"/>
        <family val="2"/>
      </rPr>
      <t xml:space="preserve"> </t>
    </r>
    <r>
      <rPr>
        <b/>
        <u val="single"/>
        <sz val="25"/>
        <rFont val="굴림"/>
        <family val="3"/>
      </rPr>
      <t>내역</t>
    </r>
  </si>
  <si>
    <r>
      <t xml:space="preserve">1. </t>
    </r>
    <r>
      <rPr>
        <b/>
        <sz val="13"/>
        <rFont val="굴림"/>
        <family val="3"/>
      </rPr>
      <t>세</t>
    </r>
    <r>
      <rPr>
        <b/>
        <sz val="13"/>
        <rFont val="Arial"/>
        <family val="2"/>
      </rPr>
      <t xml:space="preserve">  </t>
    </r>
    <r>
      <rPr>
        <b/>
        <sz val="13"/>
        <rFont val="굴림"/>
        <family val="3"/>
      </rPr>
      <t>입</t>
    </r>
  </si>
  <si>
    <r>
      <t>(</t>
    </r>
    <r>
      <rPr>
        <sz val="11"/>
        <rFont val="굴림"/>
        <family val="3"/>
      </rPr>
      <t>금액단위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</rPr>
      <t>천원</t>
    </r>
    <r>
      <rPr>
        <sz val="11"/>
        <rFont val="Arial"/>
        <family val="2"/>
      </rPr>
      <t>)</t>
    </r>
  </si>
  <si>
    <r>
      <t>과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목</t>
    </r>
  </si>
  <si>
    <t>기정예산액</t>
  </si>
  <si>
    <r>
      <t>증</t>
    </r>
    <r>
      <rPr>
        <sz val="11"/>
        <rFont val="Arial"/>
        <family val="2"/>
      </rPr>
      <t>(</t>
    </r>
    <r>
      <rPr>
        <sz val="11"/>
        <rFont val="굴림"/>
        <family val="3"/>
      </rPr>
      <t>△</t>
    </r>
    <r>
      <rPr>
        <sz val="11"/>
        <rFont val="Arial"/>
        <family val="2"/>
      </rPr>
      <t>)</t>
    </r>
    <r>
      <rPr>
        <sz val="11"/>
        <rFont val="굴림"/>
        <family val="3"/>
      </rPr>
      <t>감</t>
    </r>
  </si>
  <si>
    <r>
      <t>(</t>
    </r>
    <r>
      <rPr>
        <sz val="11"/>
        <rFont val="굴림"/>
        <family val="3"/>
      </rPr>
      <t>관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별</t>
    </r>
    <r>
      <rPr>
        <sz val="11"/>
        <rFont val="Arial"/>
        <family val="2"/>
      </rPr>
      <t>)</t>
    </r>
  </si>
  <si>
    <t>(A)</t>
  </si>
  <si>
    <t>(B)</t>
  </si>
  <si>
    <t>(A-B)</t>
  </si>
  <si>
    <t>(%)</t>
  </si>
  <si>
    <r>
      <t>사용료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및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수수료</t>
    </r>
  </si>
  <si>
    <r>
      <t>전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입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금</t>
    </r>
  </si>
  <si>
    <r>
      <t>원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조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조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금</t>
    </r>
  </si>
  <si>
    <r>
      <t>이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월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금</t>
    </r>
  </si>
  <si>
    <t>학교운영지원비</t>
  </si>
  <si>
    <r>
      <t>잡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수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입</t>
    </r>
  </si>
  <si>
    <r>
      <t>합</t>
    </r>
    <r>
      <rPr>
        <sz val="11"/>
        <rFont val="Arial"/>
        <family val="2"/>
      </rPr>
      <t xml:space="preserve">             </t>
    </r>
    <r>
      <rPr>
        <sz val="11"/>
        <rFont val="굴림"/>
        <family val="3"/>
      </rPr>
      <t>계</t>
    </r>
  </si>
  <si>
    <r>
      <t xml:space="preserve">2. </t>
    </r>
    <r>
      <rPr>
        <b/>
        <sz val="13"/>
        <rFont val="굴림"/>
        <family val="3"/>
      </rPr>
      <t>세</t>
    </r>
    <r>
      <rPr>
        <b/>
        <sz val="13"/>
        <rFont val="Arial"/>
        <family val="2"/>
      </rPr>
      <t xml:space="preserve">  </t>
    </r>
    <r>
      <rPr>
        <b/>
        <sz val="13"/>
        <rFont val="굴림"/>
        <family val="3"/>
      </rPr>
      <t>출</t>
    </r>
  </si>
  <si>
    <r>
      <t>인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건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비</t>
    </r>
  </si>
  <si>
    <r>
      <t>관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리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영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비</t>
    </r>
  </si>
  <si>
    <r>
      <t>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육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비</t>
    </r>
  </si>
  <si>
    <r>
      <t>예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비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비</t>
    </r>
  </si>
  <si>
    <r>
      <t>합</t>
    </r>
    <r>
      <rPr>
        <sz val="11"/>
        <rFont val="Arial"/>
        <family val="2"/>
      </rPr>
      <t xml:space="preserve">             </t>
    </r>
    <r>
      <rPr>
        <sz val="11"/>
        <rFont val="굴림"/>
        <family val="3"/>
      </rPr>
      <t>계</t>
    </r>
    <r>
      <rPr>
        <sz val="11"/>
        <rFont val="Arial"/>
        <family val="2"/>
      </rPr>
      <t xml:space="preserve"> </t>
    </r>
  </si>
  <si>
    <t xml:space="preserve"> </t>
  </si>
  <si>
    <t>구성비
(%)</t>
  </si>
  <si>
    <t>세입·세출 예산명세서</t>
  </si>
  <si>
    <t>전년도불용액</t>
  </si>
  <si>
    <t>추경 예산 총괄표</t>
  </si>
  <si>
    <t>2.일반보조금(국가.시도)</t>
  </si>
  <si>
    <t xml:space="preserve"> ㅇ학교급식식재료구입지원비</t>
  </si>
  <si>
    <r>
      <t xml:space="preserve"> ㅇ 자원봉사자</t>
    </r>
    <r>
      <rPr>
        <sz val="10"/>
        <rFont val="바탕"/>
        <family val="1"/>
      </rPr>
      <t>(하모니) 지원금</t>
    </r>
  </si>
  <si>
    <t xml:space="preserve"> ㅇ 현장체험학습비</t>
  </si>
  <si>
    <t xml:space="preserve">    나. 20년-25년</t>
  </si>
  <si>
    <t xml:space="preserve">    다. 15년-20년</t>
  </si>
  <si>
    <t xml:space="preserve">    나. 부양가족</t>
  </si>
  <si>
    <t xml:space="preserve">    나. 15년-20년</t>
  </si>
  <si>
    <r>
      <t xml:space="preserve"> </t>
    </r>
    <r>
      <rPr>
        <sz val="10"/>
        <rFont val="바탕"/>
        <family val="1"/>
      </rPr>
      <t xml:space="preserve"> - 식품비</t>
    </r>
  </si>
  <si>
    <r>
      <t xml:space="preserve"> </t>
    </r>
    <r>
      <rPr>
        <sz val="10"/>
        <rFont val="바탕"/>
        <family val="1"/>
      </rPr>
      <t xml:space="preserve"> - 간식비</t>
    </r>
  </si>
  <si>
    <r>
      <t xml:space="preserve">  ㅇ 자원봉사자</t>
    </r>
    <r>
      <rPr>
        <sz val="10"/>
        <rFont val="바탕"/>
        <family val="1"/>
      </rPr>
      <t>(하모니)</t>
    </r>
  </si>
  <si>
    <t>유치원 학교회계 세출예산 성질별 조서</t>
  </si>
  <si>
    <t>예 산 액</t>
  </si>
  <si>
    <t>1.봉급</t>
  </si>
  <si>
    <t>2.정액수당</t>
  </si>
  <si>
    <t>3.임시직</t>
  </si>
  <si>
    <t>(단위 : 천원)</t>
  </si>
  <si>
    <t>추경예산액</t>
  </si>
  <si>
    <t>기정예산액</t>
  </si>
  <si>
    <t>증  감</t>
  </si>
  <si>
    <t>4.부담금</t>
  </si>
  <si>
    <t>5.기타제수당</t>
  </si>
  <si>
    <t>2.수용비</t>
  </si>
  <si>
    <t>1.학교교육비</t>
  </si>
  <si>
    <t>2.자산취득비</t>
  </si>
  <si>
    <t>3.재산관리비</t>
  </si>
  <si>
    <t>4.보건체육비</t>
  </si>
  <si>
    <t>1.의료비</t>
  </si>
  <si>
    <t>2.보험료</t>
  </si>
  <si>
    <t>3.체력행사비</t>
  </si>
  <si>
    <t>5.예비비</t>
  </si>
  <si>
    <t>6.학교운영지원비</t>
  </si>
  <si>
    <t>2.학교급식비</t>
  </si>
  <si>
    <t>3.기타수익자부담금</t>
  </si>
  <si>
    <t xml:space="preserve">예산확정일 </t>
  </si>
  <si>
    <t>예산액</t>
  </si>
  <si>
    <t xml:space="preserve">제 4 조 </t>
  </si>
  <si>
    <t>사학기관재무.회계규칙 제21조 제3항 및 제4항의 규정에 의하여 예산액의</t>
  </si>
  <si>
    <t xml:space="preserve">부족액이 있는 경우 항간 또는 목간 전용할 수 있으나, 다음 비목의 </t>
  </si>
  <si>
    <t>예산을 타비목에 전용할 수 없다.</t>
  </si>
  <si>
    <t>2. 시 설 비</t>
  </si>
  <si>
    <t>1. 봉     급</t>
  </si>
  <si>
    <t>3. 상환금.  다만, 원금과 이자는 상호 전용할 수 있다.</t>
  </si>
  <si>
    <t xml:space="preserve">제 5 조 </t>
  </si>
  <si>
    <t>광양제철유치원회계 세입·세출 예산서</t>
  </si>
  <si>
    <t xml:space="preserve">회계연도 중에 용도가 지정되고 전액이 교부 또는 기탁된 경비와 </t>
  </si>
  <si>
    <t xml:space="preserve">학교운영위원회의 자문을 거친 수익자부담경비는 예산의 성립이전에 </t>
  </si>
  <si>
    <t xml:space="preserve">이를 사용할 수 있으며, 이는 동일 회계연도내의 차기 추가경정예산에 </t>
  </si>
  <si>
    <t>편성하지 못할 경우 이사회의 의결을 받은 것으로 간주처리 한다.</t>
  </si>
  <si>
    <t xml:space="preserve">계상하여야 한다.  다만, 목적지정 지원금이 교부된 이후 추가경정예산을 </t>
  </si>
  <si>
    <t>예산 총칙</t>
  </si>
  <si>
    <r>
      <t>3</t>
    </r>
    <r>
      <rPr>
        <sz val="10"/>
        <rFont val="바탕"/>
        <family val="1"/>
      </rPr>
      <t xml:space="preserve">00원 × </t>
    </r>
    <r>
      <rPr>
        <sz val="10"/>
        <rFont val="바탕"/>
        <family val="1"/>
      </rPr>
      <t>0통</t>
    </r>
  </si>
  <si>
    <t>년</t>
  </si>
  <si>
    <t>방과후활동비</t>
  </si>
  <si>
    <t xml:space="preserve"> ㅇ 유아학비 지원금</t>
  </si>
  <si>
    <t xml:space="preserve"> ㅇ방과후과정반교육비</t>
  </si>
  <si>
    <t xml:space="preserve"> </t>
  </si>
  <si>
    <t xml:space="preserve"> ㅇ 방과후과정반운영비 지원금</t>
  </si>
  <si>
    <t xml:space="preserve"> ㅇ 사립유치원운영비</t>
  </si>
  <si>
    <t>1. 방과후활동비</t>
  </si>
  <si>
    <t>2. 현장학습비</t>
  </si>
  <si>
    <t xml:space="preserve"> ㅇ법인카드포인트캐쉬백전환금수입</t>
  </si>
  <si>
    <t>3. 고용원수당</t>
  </si>
  <si>
    <t>5.공과보험료</t>
  </si>
  <si>
    <t>4.기타시설유지비</t>
  </si>
  <si>
    <t>◎ 기타시설유지비</t>
  </si>
  <si>
    <t>1.방과후활동비</t>
  </si>
  <si>
    <r>
      <t>2</t>
    </r>
    <r>
      <rPr>
        <sz val="10"/>
        <rFont val="바탕"/>
        <family val="1"/>
      </rPr>
      <t>.현장학습비</t>
    </r>
  </si>
  <si>
    <t>ㅇ 현장체험학습비</t>
  </si>
  <si>
    <t xml:space="preserve"> ㅇ방과후과정반강사료</t>
  </si>
  <si>
    <t xml:space="preserve"> ㅇ방과후과정반간식비</t>
  </si>
  <si>
    <t xml:space="preserve"> ㅇ방과후과정반운영비</t>
  </si>
  <si>
    <r>
      <t>3</t>
    </r>
    <r>
      <rPr>
        <sz val="10"/>
        <rFont val="바탕"/>
        <family val="1"/>
      </rPr>
      <t>.고용원</t>
    </r>
    <r>
      <rPr>
        <sz val="10"/>
        <rFont val="바탕"/>
        <family val="1"/>
      </rPr>
      <t>봉급</t>
    </r>
  </si>
  <si>
    <t>◎ 고용원봉급</t>
  </si>
  <si>
    <t xml:space="preserve">    나. 교사(5년이상)</t>
  </si>
  <si>
    <t>◎ 고용원명절휴가보전금</t>
  </si>
  <si>
    <t>◎ 고용원연차수당</t>
  </si>
  <si>
    <t>◎ 고용원교통보조비</t>
  </si>
  <si>
    <t>◎ 고용원가족수당</t>
  </si>
  <si>
    <t>◎ 고용원처우개선비</t>
  </si>
  <si>
    <t>◎ 고용원시간외수당</t>
  </si>
  <si>
    <t>◎ 기간제교사성과상여</t>
  </si>
  <si>
    <t>6.비정규직부담금</t>
  </si>
  <si>
    <t>5.직원퇴직부담금</t>
  </si>
  <si>
    <t>◎ 직원퇴직부담금</t>
  </si>
  <si>
    <t xml:space="preserve"> ◎ 교원국민연금부담금</t>
  </si>
  <si>
    <t xml:space="preserve"> ◎ 직원국민연금부담금</t>
  </si>
  <si>
    <t xml:space="preserve"> ◎ 교원건강보험부담금</t>
  </si>
  <si>
    <t xml:space="preserve"> ◎ 교원노인요양보험부담금</t>
  </si>
  <si>
    <t xml:space="preserve"> ◎ 직원건강보험부담금</t>
  </si>
  <si>
    <t xml:space="preserve"> ◎ 직원노인요양보험부담금</t>
  </si>
  <si>
    <t xml:space="preserve"> ◎ 교원고용보험부담금</t>
  </si>
  <si>
    <t xml:space="preserve"> ◎ 직원고용보험부담금</t>
  </si>
  <si>
    <t xml:space="preserve"> ◎ 교원산재보험부담금</t>
  </si>
  <si>
    <t xml:space="preserve"> ◎ 직원산재보험부담금</t>
  </si>
  <si>
    <t xml:space="preserve"> ◎ 보조강사</t>
  </si>
  <si>
    <t xml:space="preserve"> ◎ 시간강사</t>
  </si>
  <si>
    <t xml:space="preserve"> ◎ 교원시간외수당</t>
  </si>
  <si>
    <t xml:space="preserve"> ◎ 교원정액시간외수당</t>
  </si>
  <si>
    <t>명</t>
  </si>
  <si>
    <t xml:space="preserve"> ◎ 교원직급보조비(원감)</t>
  </si>
  <si>
    <t>명</t>
  </si>
  <si>
    <t>월</t>
  </si>
  <si>
    <t xml:space="preserve"> ◎ 교원제철수당</t>
  </si>
  <si>
    <t xml:space="preserve"> ◎ 직원유.초자녀학비수당</t>
  </si>
  <si>
    <t xml:space="preserve"> ◎ 교원대학자녀학비보조수당</t>
  </si>
  <si>
    <t>회</t>
  </si>
  <si>
    <t>대</t>
  </si>
  <si>
    <r>
      <t xml:space="preserve">  ㅇ 전산비품</t>
    </r>
    <r>
      <rPr>
        <sz val="10"/>
        <rFont val="바탕"/>
        <family val="1"/>
      </rPr>
      <t>(N/W라인정비)</t>
    </r>
  </si>
  <si>
    <t>년</t>
  </si>
  <si>
    <r>
      <t xml:space="preserve">  ㅇ</t>
    </r>
    <r>
      <rPr>
        <sz val="10"/>
        <rFont val="바탕"/>
        <family val="1"/>
      </rPr>
      <t xml:space="preserve"> 전산용품</t>
    </r>
  </si>
  <si>
    <t xml:space="preserve"> </t>
  </si>
  <si>
    <t xml:space="preserve">  ㅇ 유아학비지원금</t>
  </si>
  <si>
    <t xml:space="preserve">  ㅇ 방과후과정반운영비</t>
  </si>
  <si>
    <t xml:space="preserve">  ㅇ사립유치원운영비</t>
  </si>
  <si>
    <t xml:space="preserve">  ㅇ 방과후과정지원금</t>
  </si>
  <si>
    <t xml:space="preserve">  ㅇ 학교급식식재료구입비</t>
  </si>
  <si>
    <t>◎ 비전사업비</t>
  </si>
  <si>
    <t>식</t>
  </si>
  <si>
    <t>년</t>
  </si>
  <si>
    <t>회</t>
  </si>
  <si>
    <t xml:space="preserve"> ㅇ 방과후교육활동교육비</t>
  </si>
  <si>
    <t xml:space="preserve"> ㅇ 방과후교육활동운영비</t>
  </si>
  <si>
    <t xml:space="preserve"> ㅇ방과후과정반부담금</t>
  </si>
  <si>
    <t>◎ 차량운영비</t>
  </si>
  <si>
    <t xml:space="preserve">  ㅇ 자동차세</t>
  </si>
  <si>
    <t xml:space="preserve">  ㅇ 자동차보험료</t>
  </si>
  <si>
    <t>월</t>
  </si>
  <si>
    <t xml:space="preserve">  ㅇ 차량운영비</t>
  </si>
  <si>
    <t>년</t>
  </si>
  <si>
    <r>
      <t xml:space="preserve">  ㅇ환경</t>
    </r>
    <r>
      <rPr>
        <sz val="10"/>
        <rFont val="바탕"/>
        <family val="1"/>
      </rPr>
      <t>직용역비</t>
    </r>
  </si>
  <si>
    <r>
      <t xml:space="preserve">  ㅇ 특별회의비</t>
    </r>
    <r>
      <rPr>
        <sz val="10"/>
        <rFont val="바탕"/>
        <family val="1"/>
      </rPr>
      <t>(운영위원)</t>
    </r>
  </si>
  <si>
    <t>1.방과후활동비</t>
  </si>
  <si>
    <t>2.현장학습비</t>
  </si>
  <si>
    <t>2014학년도</t>
  </si>
  <si>
    <t>학교비 세입·세출 1차 추가경정 예산서</t>
  </si>
  <si>
    <t>2. 2014학년도 학교비 세입·세출 1차 추가경정예산 총액</t>
  </si>
  <si>
    <t xml:space="preserve">    2014학년도</t>
  </si>
  <si>
    <t>학교비 1차 추가경정 세입·세출예산 총괄표</t>
  </si>
  <si>
    <t>일금   1,803,241,120원</t>
  </si>
  <si>
    <t>일금   1,803,241,120원</t>
  </si>
  <si>
    <t>예산 구분 : 추경12회</t>
  </si>
  <si>
    <t>2015. 02. 12</t>
  </si>
  <si>
    <t>2014학년도 광양제철치원회계 세입·세출예산 총액 1,780,400,000원을</t>
  </si>
  <si>
    <t>1,803,241,120원으로 한다.</t>
  </si>
  <si>
    <t>2014학년도 명시이월사업은 해당사항 없다.</t>
  </si>
  <si>
    <t>2014학년도 계속비 사업은 해당사항 없다.</t>
  </si>
  <si>
    <r>
      <t>70</t>
    </r>
    <r>
      <rPr>
        <sz val="10"/>
        <rFont val="바탕"/>
        <family val="1"/>
      </rPr>
      <t xml:space="preserve">,000원 × </t>
    </r>
    <r>
      <rPr>
        <sz val="10"/>
        <rFont val="바탕"/>
        <family val="1"/>
      </rPr>
      <t>113</t>
    </r>
    <r>
      <rPr>
        <sz val="10"/>
        <rFont val="바탕"/>
        <family val="1"/>
      </rPr>
      <t>명</t>
    </r>
  </si>
  <si>
    <r>
      <t xml:space="preserve">ㅇ </t>
    </r>
    <r>
      <rPr>
        <sz val="10"/>
        <rFont val="바탕"/>
        <family val="1"/>
      </rPr>
      <t xml:space="preserve"> 수업료</t>
    </r>
  </si>
  <si>
    <r>
      <t>248,000</t>
    </r>
    <r>
      <rPr>
        <sz val="10"/>
        <rFont val="바탕"/>
        <family val="1"/>
      </rPr>
      <t xml:space="preserve">원 × </t>
    </r>
    <r>
      <rPr>
        <sz val="10"/>
        <rFont val="바탕"/>
        <family val="1"/>
      </rPr>
      <t>175</t>
    </r>
    <r>
      <rPr>
        <sz val="10"/>
        <rFont val="바탕"/>
        <family val="1"/>
      </rPr>
      <t>명</t>
    </r>
    <r>
      <rPr>
        <sz val="10"/>
        <rFont val="바탕"/>
        <family val="1"/>
      </rPr>
      <t xml:space="preserve"> </t>
    </r>
    <r>
      <rPr>
        <sz val="10"/>
        <rFont val="바탕"/>
        <family val="1"/>
      </rPr>
      <t>×</t>
    </r>
    <r>
      <rPr>
        <sz val="10"/>
        <rFont val="바탕"/>
        <family val="1"/>
      </rPr>
      <t xml:space="preserve"> 12회</t>
    </r>
  </si>
  <si>
    <t>2.기타잡수입</t>
  </si>
  <si>
    <t xml:space="preserve"> ㅇ시설물사용료수입</t>
  </si>
  <si>
    <t xml:space="preserve"> ㅇ지연배상금수입</t>
  </si>
  <si>
    <t>1,950원  × 173명 × 210일</t>
  </si>
  <si>
    <t>ㅇ 방과후교육비     25,000원 × 173명 × 3과목× 11월</t>
  </si>
  <si>
    <t xml:space="preserve">      - 교직원                         3,400원 × 12명 × 20일</t>
  </si>
  <si>
    <t xml:space="preserve">      - 교직원                         3,000원 × 12명 × 180일</t>
  </si>
  <si>
    <t xml:space="preserve"> ㅇ 방과후과정반운영비          89,000원 ×  110명 × 12월</t>
  </si>
  <si>
    <r>
      <t xml:space="preserve"> ㅇ </t>
    </r>
    <r>
      <rPr>
        <sz val="10"/>
        <rFont val="바탕"/>
        <family val="1"/>
      </rPr>
      <t>영어교재비</t>
    </r>
    <r>
      <rPr>
        <sz val="10"/>
        <rFont val="바탕"/>
        <family val="1"/>
      </rPr>
      <t xml:space="preserve">                       10,000</t>
    </r>
    <r>
      <rPr>
        <sz val="10"/>
        <rFont val="바탕"/>
        <family val="1"/>
      </rPr>
      <t>원</t>
    </r>
    <r>
      <rPr>
        <sz val="10"/>
        <rFont val="바탕"/>
        <family val="1"/>
      </rPr>
      <t xml:space="preserve"> </t>
    </r>
    <r>
      <rPr>
        <sz val="10"/>
        <rFont val="바탕"/>
        <family val="1"/>
      </rPr>
      <t>×</t>
    </r>
    <r>
      <rPr>
        <sz val="10"/>
        <rFont val="바탕"/>
        <family val="1"/>
      </rPr>
      <t xml:space="preserve">  175</t>
    </r>
    <r>
      <rPr>
        <sz val="10"/>
        <rFont val="바탕"/>
        <family val="1"/>
      </rPr>
      <t>명</t>
    </r>
    <r>
      <rPr>
        <sz val="10"/>
        <rFont val="바탕"/>
        <family val="1"/>
      </rPr>
      <t xml:space="preserve"> </t>
    </r>
    <r>
      <rPr>
        <sz val="10"/>
        <rFont val="바탕"/>
        <family val="1"/>
      </rPr>
      <t>×</t>
    </r>
    <r>
      <rPr>
        <sz val="10"/>
        <rFont val="바탕"/>
        <family val="1"/>
      </rPr>
      <t xml:space="preserve"> 12월</t>
    </r>
  </si>
  <si>
    <t xml:space="preserve">      - 원  아                          1,000원 × 175명 × 208일</t>
  </si>
  <si>
    <t xml:space="preserve"> 17,000원 × 175명 × 8회</t>
  </si>
  <si>
    <t xml:space="preserve"> ㅇ 기타일반교재비                 3,500원 ×  175명 × 10월</t>
  </si>
  <si>
    <t>8.교원연구비</t>
  </si>
  <si>
    <t xml:space="preserve"> ◎ 교원연구비</t>
  </si>
  <si>
    <t xml:space="preserve">    다. 교사(5년이상)</t>
  </si>
  <si>
    <t xml:space="preserve">    라. 교사(5년미만)</t>
  </si>
  <si>
    <t>◎ 고용원장기근무가산금</t>
  </si>
  <si>
    <t>◎ 기간제교사기타수당</t>
  </si>
  <si>
    <t xml:space="preserve">  ㅇ 모바일홈페이지</t>
  </si>
  <si>
    <t>◎ 여비</t>
  </si>
  <si>
    <t xml:space="preserve">  ㅇ 사이버연수비</t>
  </si>
  <si>
    <t xml:space="preserve">  ㅇ 상담자격취득수당</t>
  </si>
  <si>
    <t xml:space="preserve">  ㅇ 학부모함께하는교육</t>
  </si>
  <si>
    <t>회</t>
  </si>
  <si>
    <r>
      <t xml:space="preserve">  ㅇ 교장주도</t>
    </r>
    <r>
      <rPr>
        <sz val="10"/>
        <rFont val="바탕"/>
        <family val="1"/>
      </rPr>
      <t xml:space="preserve"> 전교원 변화관리</t>
    </r>
  </si>
  <si>
    <t xml:space="preserve">  o  비품 구입(나뭇잎벤치외4종)</t>
  </si>
  <si>
    <r>
      <t xml:space="preserve"> </t>
    </r>
    <r>
      <rPr>
        <sz val="10"/>
        <rFont val="바탕"/>
        <family val="1"/>
      </rPr>
      <t xml:space="preserve"> o  전자교환기유지보수</t>
    </r>
  </si>
  <si>
    <t>원</t>
  </si>
  <si>
    <t>◎ 임차료</t>
  </si>
  <si>
    <t xml:space="preserve">  ㅇ 칼라프린터임대료</t>
  </si>
  <si>
    <t>대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</si>
</sst>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&quot; 월&quot;"/>
    <numFmt numFmtId="178" formatCode="0.0%"/>
    <numFmt numFmtId="179" formatCode="#,##0.0_ "/>
    <numFmt numFmtId="180" formatCode="0_ "/>
    <numFmt numFmtId="181" formatCode="yy&quot;/&quot;m&quot;/&quot;d"/>
    <numFmt numFmtId="182" formatCode="yyyy&quot;/&quot;m&quot;/&quot;d"/>
    <numFmt numFmtId="183" formatCode="yyyy&quot;년&quot;\ m&quot;월&quot;\ d&quot;일&quot;"/>
    <numFmt numFmtId="184" formatCode="yy&quot;년&quot;\ m&quot;월&quot;\ d&quot;일&quot;"/>
    <numFmt numFmtId="185" formatCode="#,##0_ "/>
    <numFmt numFmtId="186" formatCode="&quot;@&quot;#,##0"/>
    <numFmt numFmtId="187" formatCode="mm&quot;월&quot;\ dd&quot;일&quot;"/>
    <numFmt numFmtId="188" formatCode="yyyy/mm/dd&quot;현재&quot;"/>
    <numFmt numFmtId="189" formatCode="yyyy/mm/dd&quot; 현재&quot;"/>
    <numFmt numFmtId="190" formatCode="#,##0,;[Red]&quot;△&quot;#,##0,"/>
    <numFmt numFmtId="191" formatCode="#,##0;&quot;△&quot;#,##0"/>
    <numFmt numFmtId="192" formatCode="_-* #,##0;&quot;△&quot;* #,##0;_-* &quot;-&quot;_-;_-@_-"/>
    <numFmt numFmtId="193" formatCode="#,##0;&quot;△&quot;\ #,##0;@\-"/>
    <numFmt numFmtId="194" formatCode="0.0_);[Red]\(0.0\)"/>
    <numFmt numFmtId="195" formatCode="#,##0.0"/>
    <numFmt numFmtId="196" formatCode="#,##0.0;&quot;△&quot;#,##0.0"/>
    <numFmt numFmtId="197" formatCode="0.0_ "/>
    <numFmt numFmtId="198" formatCode="#,##0.000"/>
    <numFmt numFmtId="199" formatCode="#,##0.00;&quot;△&quot;#,##0.00"/>
    <numFmt numFmtId="200" formatCode="#,##0.000;&quot;△&quot;#,##0.000"/>
    <numFmt numFmtId="201" formatCode="#,##0.0;[Red]&quot;△&quot;#,##0.0"/>
    <numFmt numFmtId="202" formatCode="#,##0.00;[Red]&quot;△&quot;#,##0.00"/>
    <numFmt numFmtId="203" formatCode="#,##0.000;[Red]&quot;△&quot;#,##0.000"/>
    <numFmt numFmtId="204" formatCode="0.000%"/>
    <numFmt numFmtId="205" formatCode="0.0000%"/>
    <numFmt numFmtId="206" formatCode="0;[Red]0"/>
    <numFmt numFmtId="207" formatCode="000\-000"/>
    <numFmt numFmtId="208" formatCode="#,##0.0000;[Red]&quot;△&quot;#,##0.0000"/>
    <numFmt numFmtId="209" formatCode="#,##0.00000;[Red]&quot;△&quot;#,##0.00000"/>
    <numFmt numFmtId="210" formatCode="#,##0.000000;[Red]&quot;△&quot;#,##0.000000"/>
    <numFmt numFmtId="211" formatCode="#,##0.0000000;[Red]&quot;△&quot;#,##0.0000000"/>
    <numFmt numFmtId="212" formatCode="#,##0.00000000;[Red]&quot;△&quot;#,##0.00000000"/>
    <numFmt numFmtId="213" formatCode="_ * #,##0_ ;_ * \-#,##0_ ;_ * &quot;-&quot;_ ;_ @_ "/>
    <numFmt numFmtId="214" formatCode="_ * #,##0.00_ ;_ * \-#,##0.00_ ;_ * &quot;-&quot;??_ ;_ @_ "/>
    <numFmt numFmtId="215" formatCode="[$-412]yyyy&quot;년&quot;\ m&quot;월&quot;\ d&quot;일&quot;\ dddd"/>
    <numFmt numFmtId="216" formatCode="[$-412]AM/PM\ h:mm:ss"/>
  </numFmts>
  <fonts count="93">
    <font>
      <sz val="10"/>
      <name val="바탕"/>
      <family val="1"/>
    </font>
    <font>
      <sz val="8"/>
      <name val="바탕"/>
      <family val="1"/>
    </font>
    <font>
      <sz val="11"/>
      <name val="굴림"/>
      <family val="3"/>
    </font>
    <font>
      <b/>
      <sz val="20"/>
      <name val="굴림"/>
      <family val="3"/>
    </font>
    <font>
      <u val="single"/>
      <sz val="10"/>
      <color indexed="12"/>
      <name val="바탕"/>
      <family val="1"/>
    </font>
    <font>
      <u val="single"/>
      <sz val="10"/>
      <color indexed="36"/>
      <name val="바탕"/>
      <family val="1"/>
    </font>
    <font>
      <sz val="8"/>
      <name val="돋움"/>
      <family val="3"/>
    </font>
    <font>
      <b/>
      <sz val="10"/>
      <name val="바탕"/>
      <family val="1"/>
    </font>
    <font>
      <sz val="11"/>
      <name val="돋움"/>
      <family val="3"/>
    </font>
    <font>
      <sz val="12"/>
      <name val="바탕체"/>
      <family val="1"/>
    </font>
    <font>
      <b/>
      <sz val="22"/>
      <name val="굴림"/>
      <family val="3"/>
    </font>
    <font>
      <b/>
      <sz val="24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12"/>
      <name val="굴림"/>
      <family val="3"/>
    </font>
    <font>
      <sz val="11"/>
      <name val="Arial Narrow"/>
      <family val="2"/>
    </font>
    <font>
      <sz val="11"/>
      <name val="Arial"/>
      <family val="2"/>
    </font>
    <font>
      <b/>
      <u val="single"/>
      <sz val="25"/>
      <name val="굴림"/>
      <family val="3"/>
    </font>
    <font>
      <b/>
      <u val="single"/>
      <sz val="25"/>
      <name val="Arial"/>
      <family val="2"/>
    </font>
    <font>
      <b/>
      <sz val="13"/>
      <name val="Arial"/>
      <family val="2"/>
    </font>
    <font>
      <b/>
      <sz val="13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name val="맑은 고딕"/>
      <family val="3"/>
    </font>
    <font>
      <b/>
      <u val="single"/>
      <sz val="16"/>
      <name val="맑은 고딕"/>
      <family val="3"/>
    </font>
    <font>
      <sz val="11"/>
      <name val="맑은 고딕"/>
      <family val="3"/>
    </font>
    <font>
      <b/>
      <sz val="16"/>
      <name val="맑은 고딕"/>
      <family val="3"/>
    </font>
    <font>
      <b/>
      <sz val="20"/>
      <name val="맑은 고딕"/>
      <family val="3"/>
    </font>
    <font>
      <b/>
      <sz val="24"/>
      <name val="맑은 고딕"/>
      <family val="3"/>
    </font>
    <font>
      <b/>
      <sz val="22"/>
      <name val="맑은 고딕"/>
      <family val="3"/>
    </font>
    <font>
      <sz val="14"/>
      <name val="맑은 고딕"/>
      <family val="3"/>
    </font>
    <font>
      <sz val="13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b/>
      <sz val="13"/>
      <name val="맑은 고딕"/>
      <family val="3"/>
    </font>
    <font>
      <sz val="1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8"/>
      <name val="Cambria"/>
      <family val="3"/>
    </font>
    <font>
      <b/>
      <u val="single"/>
      <sz val="16"/>
      <name val="Cambria"/>
      <family val="3"/>
    </font>
    <font>
      <sz val="11"/>
      <name val="Cambria"/>
      <family val="3"/>
    </font>
    <font>
      <b/>
      <sz val="16"/>
      <name val="Cambria"/>
      <family val="3"/>
    </font>
    <font>
      <b/>
      <sz val="20"/>
      <name val="Cambria"/>
      <family val="3"/>
    </font>
    <font>
      <b/>
      <sz val="24"/>
      <name val="Cambria"/>
      <family val="3"/>
    </font>
    <font>
      <b/>
      <sz val="22"/>
      <name val="Cambria"/>
      <family val="3"/>
    </font>
    <font>
      <sz val="14"/>
      <name val="Calibri"/>
      <family val="3"/>
    </font>
    <font>
      <sz val="11"/>
      <name val="Calibri"/>
      <family val="3"/>
    </font>
    <font>
      <b/>
      <sz val="20"/>
      <name val="Calibri"/>
      <family val="3"/>
    </font>
    <font>
      <b/>
      <sz val="16"/>
      <name val="Calibri"/>
      <family val="3"/>
    </font>
    <font>
      <b/>
      <sz val="22"/>
      <name val="Calibri"/>
      <family val="3"/>
    </font>
    <font>
      <sz val="13"/>
      <name val="Calibri"/>
      <family val="3"/>
    </font>
    <font>
      <b/>
      <sz val="11"/>
      <name val="Cambria"/>
      <family val="3"/>
    </font>
    <font>
      <b/>
      <sz val="10"/>
      <name val="Cambria"/>
      <family val="3"/>
    </font>
    <font>
      <b/>
      <sz val="13"/>
      <name val="Calibri"/>
      <family val="3"/>
    </font>
    <font>
      <sz val="18"/>
      <name val="Calibri"/>
      <family val="3"/>
    </font>
    <font>
      <b/>
      <sz val="18"/>
      <name val="Calibri"/>
      <family val="3"/>
    </font>
    <font>
      <b/>
      <sz val="8"/>
      <name val="바탕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8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31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3" fillId="26" borderId="9" applyNumberFormat="0" applyAlignment="0" applyProtection="0"/>
    <xf numFmtId="213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4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191" fontId="0" fillId="0" borderId="0" xfId="68" applyNumberFormat="1" applyFont="1" applyAlignment="1">
      <alignment horizontal="center" vertical="center"/>
      <protection/>
    </xf>
    <xf numFmtId="191" fontId="0" fillId="0" borderId="0" xfId="68" applyNumberFormat="1" applyFont="1" applyAlignment="1">
      <alignment vertical="center"/>
      <protection/>
    </xf>
    <xf numFmtId="191" fontId="7" fillId="0" borderId="0" xfId="68" applyNumberFormat="1" applyFont="1" applyAlignment="1">
      <alignment horizontal="left" vertical="center"/>
      <protection/>
    </xf>
    <xf numFmtId="191" fontId="7" fillId="0" borderId="0" xfId="68" applyNumberFormat="1" applyFont="1" applyAlignment="1">
      <alignment horizontal="center" vertical="center"/>
      <protection/>
    </xf>
    <xf numFmtId="191" fontId="7" fillId="0" borderId="0" xfId="68" applyNumberFormat="1" applyFont="1" applyAlignment="1">
      <alignment horizontal="center" vertical="center" shrinkToFit="1"/>
      <protection/>
    </xf>
    <xf numFmtId="191" fontId="0" fillId="0" borderId="0" xfId="68" applyNumberFormat="1" applyFont="1" applyAlignment="1">
      <alignment horizontal="right" shrinkToFit="1"/>
      <protection/>
    </xf>
    <xf numFmtId="191" fontId="0" fillId="0" borderId="10" xfId="68" applyNumberFormat="1" applyFont="1" applyBorder="1" applyAlignment="1">
      <alignment horizontal="center" vertical="center"/>
      <protection/>
    </xf>
    <xf numFmtId="191" fontId="0" fillId="0" borderId="11" xfId="68" applyNumberFormat="1" applyFont="1" applyBorder="1" applyAlignment="1">
      <alignment horizontal="center" vertical="center"/>
      <protection/>
    </xf>
    <xf numFmtId="191" fontId="0" fillId="0" borderId="12" xfId="68" applyNumberFormat="1" applyFont="1" applyBorder="1" applyAlignment="1">
      <alignment vertical="center"/>
      <protection/>
    </xf>
    <xf numFmtId="191" fontId="0" fillId="0" borderId="13" xfId="68" applyNumberFormat="1" applyFont="1" applyBorder="1" applyAlignment="1">
      <alignment vertical="center"/>
      <protection/>
    </xf>
    <xf numFmtId="191" fontId="0" fillId="0" borderId="14" xfId="68" applyNumberFormat="1" applyFont="1" applyBorder="1" applyAlignment="1">
      <alignment vertical="center"/>
      <protection/>
    </xf>
    <xf numFmtId="191" fontId="0" fillId="0" borderId="15" xfId="68" applyNumberFormat="1" applyFont="1" applyBorder="1" applyAlignment="1">
      <alignment vertical="center"/>
      <protection/>
    </xf>
    <xf numFmtId="191" fontId="0" fillId="0" borderId="15" xfId="68" applyNumberFormat="1" applyFont="1" applyBorder="1" applyAlignment="1">
      <alignment vertical="center" wrapText="1"/>
      <protection/>
    </xf>
    <xf numFmtId="191" fontId="0" fillId="0" borderId="16" xfId="68" applyNumberFormat="1" applyFont="1" applyBorder="1" applyAlignment="1">
      <alignment vertical="center"/>
      <protection/>
    </xf>
    <xf numFmtId="191" fontId="0" fillId="0" borderId="17" xfId="68" applyNumberFormat="1" applyFont="1" applyBorder="1" applyAlignment="1">
      <alignment vertical="center"/>
      <protection/>
    </xf>
    <xf numFmtId="191" fontId="0" fillId="0" borderId="18" xfId="68" applyNumberFormat="1" applyFont="1" applyBorder="1" applyAlignment="1">
      <alignment vertical="center" shrinkToFit="1"/>
      <protection/>
    </xf>
    <xf numFmtId="191" fontId="0" fillId="0" borderId="19" xfId="68" applyNumberFormat="1" applyFont="1" applyBorder="1" applyAlignment="1">
      <alignment vertical="center"/>
      <protection/>
    </xf>
    <xf numFmtId="191" fontId="0" fillId="0" borderId="19" xfId="68" applyNumberFormat="1" applyFont="1" applyBorder="1" applyAlignment="1">
      <alignment vertical="center" wrapText="1"/>
      <protection/>
    </xf>
    <xf numFmtId="191" fontId="0" fillId="0" borderId="20" xfId="68" applyNumberFormat="1" applyFont="1" applyBorder="1" applyAlignment="1">
      <alignment vertical="center"/>
      <protection/>
    </xf>
    <xf numFmtId="191" fontId="0" fillId="0" borderId="0" xfId="68" applyNumberFormat="1" applyFont="1" applyBorder="1" applyAlignment="1" quotePrefix="1">
      <alignment vertical="center"/>
      <protection/>
    </xf>
    <xf numFmtId="191" fontId="0" fillId="0" borderId="21" xfId="68" applyNumberFormat="1" applyFont="1" applyBorder="1" applyAlignment="1">
      <alignment vertical="center" shrinkToFit="1"/>
      <protection/>
    </xf>
    <xf numFmtId="191" fontId="0" fillId="0" borderId="22" xfId="68" applyNumberFormat="1" applyFont="1" applyBorder="1" applyAlignment="1">
      <alignment vertical="center"/>
      <protection/>
    </xf>
    <xf numFmtId="191" fontId="0" fillId="0" borderId="23" xfId="68" applyNumberFormat="1" applyFont="1" applyBorder="1" applyAlignment="1">
      <alignment vertical="center"/>
      <protection/>
    </xf>
    <xf numFmtId="191" fontId="0" fillId="0" borderId="24" xfId="68" applyNumberFormat="1" applyFont="1" applyBorder="1" applyAlignment="1">
      <alignment vertical="center"/>
      <protection/>
    </xf>
    <xf numFmtId="191" fontId="0" fillId="0" borderId="0" xfId="68" applyNumberFormat="1" applyFont="1" applyBorder="1" applyAlignment="1">
      <alignment vertical="center"/>
      <protection/>
    </xf>
    <xf numFmtId="191" fontId="0" fillId="0" borderId="25" xfId="68" applyNumberFormat="1" applyFont="1" applyBorder="1" applyAlignment="1">
      <alignment vertical="center"/>
      <protection/>
    </xf>
    <xf numFmtId="191" fontId="0" fillId="0" borderId="0" xfId="68" applyNumberFormat="1" applyFont="1" applyAlignment="1">
      <alignment vertical="center" shrinkToFit="1"/>
      <protection/>
    </xf>
    <xf numFmtId="191" fontId="7" fillId="0" borderId="0" xfId="68" applyNumberFormat="1" applyFont="1" applyAlignment="1">
      <alignment vertical="center"/>
      <protection/>
    </xf>
    <xf numFmtId="3" fontId="0" fillId="0" borderId="0" xfId="68" applyNumberFormat="1" applyFont="1" applyBorder="1" applyAlignment="1">
      <alignment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vertical="center"/>
      <protection/>
    </xf>
    <xf numFmtId="191" fontId="0" fillId="0" borderId="17" xfId="68" applyNumberFormat="1" applyFont="1" applyBorder="1" applyAlignment="1">
      <alignment horizontal="left" vertical="center"/>
      <protection/>
    </xf>
    <xf numFmtId="191" fontId="0" fillId="0" borderId="0" xfId="68" applyNumberFormat="1" applyFont="1" applyBorder="1" applyAlignment="1">
      <alignment horizontal="left" vertical="center"/>
      <protection/>
    </xf>
    <xf numFmtId="191" fontId="0" fillId="0" borderId="26" xfId="68" applyNumberFormat="1" applyFont="1" applyBorder="1" applyAlignment="1">
      <alignment vertical="center"/>
      <protection/>
    </xf>
    <xf numFmtId="191" fontId="0" fillId="0" borderId="27" xfId="68" applyNumberFormat="1" applyFont="1" applyBorder="1" applyAlignment="1">
      <alignment vertical="center"/>
      <protection/>
    </xf>
    <xf numFmtId="191" fontId="7" fillId="0" borderId="21" xfId="68" applyNumberFormat="1" applyFont="1" applyBorder="1" applyAlignment="1">
      <alignment vertical="center" shrinkToFit="1"/>
      <protection/>
    </xf>
    <xf numFmtId="191" fontId="0" fillId="0" borderId="28" xfId="68" applyNumberFormat="1" applyFont="1" applyBorder="1" applyAlignment="1">
      <alignment horizontal="center" vertical="center"/>
      <protection/>
    </xf>
    <xf numFmtId="191" fontId="0" fillId="0" borderId="16" xfId="68" applyNumberFormat="1" applyFont="1" applyBorder="1" applyAlignment="1">
      <alignment vertical="center" wrapText="1"/>
      <protection/>
    </xf>
    <xf numFmtId="191" fontId="0" fillId="0" borderId="20" xfId="68" applyNumberFormat="1" applyFont="1" applyBorder="1" applyAlignment="1">
      <alignment vertical="center" wrapText="1"/>
      <protection/>
    </xf>
    <xf numFmtId="191" fontId="0" fillId="0" borderId="17" xfId="68" applyNumberFormat="1" applyFont="1" applyBorder="1" applyAlignment="1">
      <alignment vertical="center" shrinkToFit="1"/>
      <protection/>
    </xf>
    <xf numFmtId="191" fontId="7" fillId="0" borderId="0" xfId="68" applyNumberFormat="1" applyFont="1" applyBorder="1" applyAlignment="1">
      <alignment vertical="center" shrinkToFit="1"/>
      <protection/>
    </xf>
    <xf numFmtId="191" fontId="0" fillId="0" borderId="29" xfId="68" applyNumberFormat="1" applyFont="1" applyBorder="1" applyAlignment="1">
      <alignment vertical="center"/>
      <protection/>
    </xf>
    <xf numFmtId="191" fontId="0" fillId="0" borderId="30" xfId="68" applyNumberFormat="1" applyFont="1" applyBorder="1" applyAlignment="1">
      <alignment vertical="center"/>
      <protection/>
    </xf>
    <xf numFmtId="191" fontId="0" fillId="0" borderId="31" xfId="68" applyNumberFormat="1" applyFont="1" applyBorder="1" applyAlignment="1">
      <alignment vertical="center"/>
      <protection/>
    </xf>
    <xf numFmtId="191" fontId="0" fillId="0" borderId="0" xfId="68" applyNumberFormat="1" applyFont="1" applyAlignment="1">
      <alignment horizontal="left" vertical="center"/>
      <protection/>
    </xf>
    <xf numFmtId="0" fontId="0" fillId="0" borderId="0" xfId="68" applyFont="1" applyBorder="1" applyAlignment="1">
      <alignment horizontal="left" vertical="center"/>
      <protection/>
    </xf>
    <xf numFmtId="191" fontId="0" fillId="0" borderId="20" xfId="68" applyNumberFormat="1" applyFont="1" applyBorder="1" applyAlignment="1">
      <alignment horizontal="right" vertical="center"/>
      <protection/>
    </xf>
    <xf numFmtId="191" fontId="0" fillId="0" borderId="0" xfId="68" applyNumberFormat="1" applyFont="1" applyBorder="1" applyAlignment="1" quotePrefix="1">
      <alignment vertical="center"/>
      <protection/>
    </xf>
    <xf numFmtId="191" fontId="0" fillId="0" borderId="32" xfId="68" applyNumberFormat="1" applyFont="1" applyBorder="1" applyAlignment="1">
      <alignment vertical="center"/>
      <protection/>
    </xf>
    <xf numFmtId="191" fontId="0" fillId="0" borderId="20" xfId="68" applyNumberFormat="1" applyFont="1" applyBorder="1" applyAlignment="1">
      <alignment horizontal="center" vertical="center"/>
      <protection/>
    </xf>
    <xf numFmtId="191" fontId="7" fillId="0" borderId="33" xfId="68" applyNumberFormat="1" applyFont="1" applyBorder="1" applyAlignment="1">
      <alignment horizontal="center" vertical="center"/>
      <protection/>
    </xf>
    <xf numFmtId="191" fontId="7" fillId="0" borderId="34" xfId="68" applyNumberFormat="1" applyFont="1" applyBorder="1" applyAlignment="1">
      <alignment vertical="center" shrinkToFit="1"/>
      <protection/>
    </xf>
    <xf numFmtId="191" fontId="0" fillId="0" borderId="14" xfId="68" applyNumberFormat="1" applyFont="1" applyBorder="1" applyAlignment="1">
      <alignment vertical="center"/>
      <protection/>
    </xf>
    <xf numFmtId="191" fontId="0" fillId="0" borderId="19" xfId="68" applyNumberFormat="1" applyFont="1" applyBorder="1" applyAlignment="1">
      <alignment vertical="center"/>
      <protection/>
    </xf>
    <xf numFmtId="191" fontId="0" fillId="0" borderId="31" xfId="68" applyNumberFormat="1" applyFont="1" applyBorder="1" applyAlignment="1">
      <alignment vertical="center"/>
      <protection/>
    </xf>
    <xf numFmtId="191" fontId="0" fillId="0" borderId="0" xfId="68" applyNumberFormat="1" applyFont="1" applyAlignment="1">
      <alignment vertical="center"/>
      <protection/>
    </xf>
    <xf numFmtId="191" fontId="0" fillId="33" borderId="0" xfId="68" applyNumberFormat="1" applyFont="1" applyFill="1" applyAlignment="1">
      <alignment horizontal="center" vertical="center" shrinkToFit="1"/>
      <protection/>
    </xf>
    <xf numFmtId="191" fontId="0" fillId="33" borderId="0" xfId="68" applyNumberFormat="1" applyFont="1" applyFill="1" applyAlignment="1">
      <alignment horizontal="right" shrinkToFit="1"/>
      <protection/>
    </xf>
    <xf numFmtId="191" fontId="0" fillId="33" borderId="18" xfId="68" applyNumberFormat="1" applyFont="1" applyFill="1" applyBorder="1" applyAlignment="1">
      <alignment vertical="center" shrinkToFit="1"/>
      <protection/>
    </xf>
    <xf numFmtId="191" fontId="7" fillId="33" borderId="21" xfId="68" applyNumberFormat="1" applyFont="1" applyFill="1" applyBorder="1" applyAlignment="1">
      <alignment vertical="center" shrinkToFit="1"/>
      <protection/>
    </xf>
    <xf numFmtId="3" fontId="0" fillId="33" borderId="21" xfId="68" applyNumberFormat="1" applyFont="1" applyFill="1" applyBorder="1" applyAlignment="1">
      <alignment vertical="center"/>
      <protection/>
    </xf>
    <xf numFmtId="191" fontId="0" fillId="33" borderId="0" xfId="68" applyNumberFormat="1" applyFont="1" applyFill="1" applyAlignment="1">
      <alignment vertical="center" shrinkToFit="1"/>
      <protection/>
    </xf>
    <xf numFmtId="191" fontId="7" fillId="0" borderId="28" xfId="68" applyNumberFormat="1" applyFont="1" applyBorder="1" applyAlignment="1">
      <alignment horizontal="center" vertical="center"/>
      <protection/>
    </xf>
    <xf numFmtId="191" fontId="7" fillId="0" borderId="35" xfId="68" applyNumberFormat="1" applyFont="1" applyBorder="1" applyAlignment="1">
      <alignment vertical="center" shrinkToFit="1"/>
      <protection/>
    </xf>
    <xf numFmtId="191" fontId="0" fillId="0" borderId="21" xfId="68" applyNumberFormat="1" applyFont="1" applyFill="1" applyBorder="1" applyAlignment="1">
      <alignment vertical="center" shrinkToFit="1"/>
      <protection/>
    </xf>
    <xf numFmtId="191" fontId="0" fillId="0" borderId="36" xfId="68" applyNumberFormat="1" applyFont="1" applyBorder="1" applyAlignment="1">
      <alignment horizontal="left" vertical="center"/>
      <protection/>
    </xf>
    <xf numFmtId="191" fontId="0" fillId="0" borderId="37" xfId="68" applyNumberFormat="1" applyFont="1" applyBorder="1" applyAlignment="1">
      <alignment vertical="center"/>
      <protection/>
    </xf>
    <xf numFmtId="191" fontId="0" fillId="0" borderId="38" xfId="68" applyNumberFormat="1" applyFont="1" applyBorder="1" applyAlignment="1">
      <alignment vertical="center"/>
      <protection/>
    </xf>
    <xf numFmtId="191" fontId="0" fillId="0" borderId="39" xfId="68" applyNumberFormat="1" applyFont="1" applyBorder="1" applyAlignment="1">
      <alignment vertical="center"/>
      <protection/>
    </xf>
    <xf numFmtId="191" fontId="0" fillId="0" borderId="20" xfId="68" applyNumberFormat="1" applyFont="1" applyBorder="1" applyAlignment="1">
      <alignment vertical="center" wrapText="1"/>
      <protection/>
    </xf>
    <xf numFmtId="0" fontId="2" fillId="0" borderId="0" xfId="69" applyFont="1">
      <alignment vertical="center"/>
      <protection/>
    </xf>
    <xf numFmtId="0" fontId="3" fillId="0" borderId="0" xfId="69" applyFont="1" applyAlignment="1">
      <alignment horizontal="centerContinuous" vertical="center"/>
      <protection/>
    </xf>
    <xf numFmtId="0" fontId="10" fillId="0" borderId="0" xfId="69" applyFont="1" applyAlignment="1">
      <alignment horizontal="center"/>
      <protection/>
    </xf>
    <xf numFmtId="0" fontId="11" fillId="0" borderId="0" xfId="69" applyFont="1">
      <alignment vertical="center"/>
      <protection/>
    </xf>
    <xf numFmtId="0" fontId="12" fillId="0" borderId="0" xfId="69" applyFont="1">
      <alignment vertical="center"/>
      <protection/>
    </xf>
    <xf numFmtId="191" fontId="0" fillId="0" borderId="14" xfId="68" applyNumberFormat="1" applyFont="1" applyBorder="1" applyAlignment="1">
      <alignment horizontal="center" vertical="center"/>
      <protection/>
    </xf>
    <xf numFmtId="191" fontId="0" fillId="0" borderId="0" xfId="68" applyNumberFormat="1" applyFont="1" applyBorder="1" applyAlignment="1">
      <alignment horizontal="center" vertical="center"/>
      <protection/>
    </xf>
    <xf numFmtId="191" fontId="7" fillId="0" borderId="16" xfId="68" applyNumberFormat="1" applyFont="1" applyBorder="1" applyAlignment="1">
      <alignment horizontal="center" vertical="center"/>
      <protection/>
    </xf>
    <xf numFmtId="191" fontId="7" fillId="0" borderId="18" xfId="68" applyNumberFormat="1" applyFont="1" applyBorder="1" applyAlignment="1">
      <alignment vertical="center" shrinkToFit="1"/>
      <protection/>
    </xf>
    <xf numFmtId="191" fontId="0" fillId="0" borderId="15" xfId="68" applyNumberFormat="1" applyFont="1" applyBorder="1" applyAlignment="1">
      <alignment vertical="center"/>
      <protection/>
    </xf>
    <xf numFmtId="3" fontId="0" fillId="0" borderId="17" xfId="68" applyNumberFormat="1" applyFont="1" applyBorder="1" applyAlignment="1">
      <alignment vertical="center"/>
      <protection/>
    </xf>
    <xf numFmtId="0" fontId="0" fillId="0" borderId="17" xfId="68" applyFont="1" applyBorder="1" applyAlignment="1">
      <alignment horizontal="center" vertical="center"/>
      <protection/>
    </xf>
    <xf numFmtId="0" fontId="0" fillId="0" borderId="17" xfId="68" applyFont="1" applyBorder="1" applyAlignment="1">
      <alignment horizontal="left" vertical="center"/>
      <protection/>
    </xf>
    <xf numFmtId="0" fontId="0" fillId="0" borderId="17" xfId="68" applyFont="1" applyBorder="1" applyAlignment="1">
      <alignment vertical="center"/>
      <protection/>
    </xf>
    <xf numFmtId="3" fontId="0" fillId="33" borderId="18" xfId="68" applyNumberFormat="1" applyFont="1" applyFill="1" applyBorder="1" applyAlignment="1">
      <alignment vertical="center"/>
      <protection/>
    </xf>
    <xf numFmtId="191" fontId="0" fillId="0" borderId="20" xfId="68" applyNumberFormat="1" applyFont="1" applyBorder="1" applyAlignment="1">
      <alignment vertical="center"/>
      <protection/>
    </xf>
    <xf numFmtId="191" fontId="0" fillId="0" borderId="38" xfId="68" applyNumberFormat="1" applyFont="1" applyBorder="1" applyAlignment="1">
      <alignment vertical="center"/>
      <protection/>
    </xf>
    <xf numFmtId="191" fontId="7" fillId="33" borderId="34" xfId="68" applyNumberFormat="1" applyFont="1" applyFill="1" applyBorder="1" applyAlignment="1">
      <alignment vertical="center" shrinkToFit="1"/>
      <protection/>
    </xf>
    <xf numFmtId="0" fontId="13" fillId="0" borderId="0" xfId="69" applyFont="1">
      <alignment vertical="center"/>
      <protection/>
    </xf>
    <xf numFmtId="191" fontId="0" fillId="0" borderId="19" xfId="68" applyNumberFormat="1" applyFont="1" applyBorder="1" applyAlignment="1">
      <alignment horizontal="center" vertical="center"/>
      <protection/>
    </xf>
    <xf numFmtId="191" fontId="7" fillId="0" borderId="0" xfId="68" applyNumberFormat="1" applyFont="1" applyFill="1" applyBorder="1" applyAlignment="1">
      <alignment vertical="center" shrinkToFit="1"/>
      <protection/>
    </xf>
    <xf numFmtId="191" fontId="0" fillId="0" borderId="0" xfId="68" applyNumberFormat="1" applyFont="1" applyFill="1" applyBorder="1" applyAlignment="1">
      <alignment vertical="center"/>
      <protection/>
    </xf>
    <xf numFmtId="191" fontId="0" fillId="0" borderId="0" xfId="68" applyNumberFormat="1" applyFont="1" applyFill="1" applyBorder="1" applyAlignment="1">
      <alignment horizontal="left" vertical="center"/>
      <protection/>
    </xf>
    <xf numFmtId="191" fontId="7" fillId="0" borderId="21" xfId="68" applyNumberFormat="1" applyFont="1" applyFill="1" applyBorder="1" applyAlignment="1">
      <alignment vertical="center" shrinkToFit="1"/>
      <protection/>
    </xf>
    <xf numFmtId="191" fontId="0" fillId="0" borderId="0" xfId="68" applyNumberFormat="1" applyFont="1" applyFill="1" applyBorder="1" applyAlignment="1">
      <alignment horizontal="left" vertical="center" shrinkToFit="1"/>
      <protection/>
    </xf>
    <xf numFmtId="191" fontId="0" fillId="0" borderId="0" xfId="68" applyNumberFormat="1" applyFont="1" applyFill="1" applyBorder="1" applyAlignment="1" quotePrefix="1">
      <alignment vertical="center"/>
      <protection/>
    </xf>
    <xf numFmtId="191" fontId="0" fillId="0" borderId="0" xfId="68" applyNumberFormat="1" applyFont="1" applyFill="1" applyBorder="1" applyAlignment="1">
      <alignment vertical="center" shrinkToFit="1"/>
      <protection/>
    </xf>
    <xf numFmtId="191" fontId="0" fillId="0" borderId="21" xfId="68" applyNumberFormat="1" applyFont="1" applyFill="1" applyBorder="1" applyAlignment="1">
      <alignment vertical="center" shrinkToFit="1"/>
      <protection/>
    </xf>
    <xf numFmtId="0" fontId="0" fillId="0" borderId="0" xfId="68" applyFont="1" applyFill="1" applyBorder="1" applyAlignment="1">
      <alignment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191" fontId="0" fillId="0" borderId="17" xfId="68" applyNumberFormat="1" applyFont="1" applyFill="1" applyBorder="1" applyAlignment="1">
      <alignment vertical="center" shrinkToFit="1"/>
      <protection/>
    </xf>
    <xf numFmtId="191" fontId="0" fillId="0" borderId="17" xfId="68" applyNumberFormat="1" applyFont="1" applyFill="1" applyBorder="1" applyAlignment="1">
      <alignment vertical="center"/>
      <protection/>
    </xf>
    <xf numFmtId="191" fontId="0" fillId="0" borderId="17" xfId="68" applyNumberFormat="1" applyFont="1" applyFill="1" applyBorder="1" applyAlignment="1">
      <alignment horizontal="left" vertical="center"/>
      <protection/>
    </xf>
    <xf numFmtId="191" fontId="0" fillId="0" borderId="18" xfId="68" applyNumberFormat="1" applyFont="1" applyFill="1" applyBorder="1" applyAlignment="1">
      <alignment vertical="center" shrinkToFit="1"/>
      <protection/>
    </xf>
    <xf numFmtId="3" fontId="0" fillId="0" borderId="0" xfId="68" applyNumberFormat="1" applyFont="1" applyFill="1" applyBorder="1" applyAlignment="1">
      <alignment vertical="center"/>
      <protection/>
    </xf>
    <xf numFmtId="0" fontId="0" fillId="0" borderId="0" xfId="68" applyFont="1" applyFill="1" applyBorder="1" applyAlignment="1">
      <alignment horizontal="center" vertical="center"/>
      <protection/>
    </xf>
    <xf numFmtId="191" fontId="0" fillId="0" borderId="0" xfId="68" applyNumberFormat="1" applyFont="1" applyFill="1" applyAlignment="1">
      <alignment vertical="center" shrinkToFit="1"/>
      <protection/>
    </xf>
    <xf numFmtId="191" fontId="0" fillId="0" borderId="0" xfId="68" applyNumberFormat="1" applyFont="1" applyFill="1" applyAlignment="1">
      <alignment vertical="center"/>
      <protection/>
    </xf>
    <xf numFmtId="191" fontId="0" fillId="0" borderId="0" xfId="68" applyNumberFormat="1" applyFont="1" applyFill="1" applyAlignment="1">
      <alignment horizontal="left" vertical="center"/>
      <protection/>
    </xf>
    <xf numFmtId="191" fontId="0" fillId="0" borderId="22" xfId="68" applyNumberFormat="1" applyFont="1" applyBorder="1" applyAlignment="1">
      <alignment vertical="center" wrapText="1"/>
      <protection/>
    </xf>
    <xf numFmtId="191" fontId="0" fillId="0" borderId="24" xfId="68" applyNumberFormat="1" applyFont="1" applyBorder="1" applyAlignment="1">
      <alignment horizontal="center" vertical="center"/>
      <protection/>
    </xf>
    <xf numFmtId="191" fontId="0" fillId="0" borderId="40" xfId="68" applyNumberFormat="1" applyFont="1" applyBorder="1" applyAlignment="1">
      <alignment vertical="center"/>
      <protection/>
    </xf>
    <xf numFmtId="191" fontId="0" fillId="0" borderId="18" xfId="68" applyNumberFormat="1" applyFont="1" applyBorder="1" applyAlignment="1">
      <alignment vertical="center"/>
      <protection/>
    </xf>
    <xf numFmtId="191" fontId="0" fillId="34" borderId="41" xfId="68" applyNumberFormat="1" applyFont="1" applyFill="1" applyBorder="1" applyAlignment="1">
      <alignment vertical="center"/>
      <protection/>
    </xf>
    <xf numFmtId="191" fontId="0" fillId="34" borderId="42" xfId="68" applyNumberFormat="1" applyFont="1" applyFill="1" applyBorder="1" applyAlignment="1">
      <alignment vertical="center"/>
      <protection/>
    </xf>
    <xf numFmtId="191" fontId="0" fillId="34" borderId="43" xfId="68" applyNumberFormat="1" applyFont="1" applyFill="1" applyBorder="1" applyAlignment="1">
      <alignment vertical="center"/>
      <protection/>
    </xf>
    <xf numFmtId="191" fontId="0" fillId="34" borderId="44" xfId="68" applyNumberFormat="1" applyFont="1" applyFill="1" applyBorder="1" applyAlignment="1">
      <alignment vertical="center" shrinkToFit="1"/>
      <protection/>
    </xf>
    <xf numFmtId="191" fontId="0" fillId="35" borderId="45" xfId="68" applyNumberFormat="1" applyFont="1" applyFill="1" applyBorder="1" applyAlignment="1">
      <alignment vertical="center"/>
      <protection/>
    </xf>
    <xf numFmtId="191" fontId="0" fillId="35" borderId="33" xfId="68" applyNumberFormat="1" applyFont="1" applyFill="1" applyBorder="1" applyAlignment="1">
      <alignment vertical="center"/>
      <protection/>
    </xf>
    <xf numFmtId="191" fontId="0" fillId="35" borderId="13" xfId="68" applyNumberFormat="1" applyFont="1" applyFill="1" applyBorder="1" applyAlignment="1">
      <alignment vertical="center"/>
      <protection/>
    </xf>
    <xf numFmtId="191" fontId="0" fillId="35" borderId="34" xfId="68" applyNumberFormat="1" applyFont="1" applyFill="1" applyBorder="1" applyAlignment="1">
      <alignment vertical="center" shrinkToFit="1"/>
      <protection/>
    </xf>
    <xf numFmtId="191" fontId="0" fillId="0" borderId="15" xfId="68" applyNumberFormat="1" applyFont="1" applyBorder="1" applyAlignment="1">
      <alignment horizontal="left" vertical="center"/>
      <protection/>
    </xf>
    <xf numFmtId="191" fontId="0" fillId="0" borderId="19" xfId="68" applyNumberFormat="1" applyFont="1" applyBorder="1" applyAlignment="1">
      <alignment horizontal="left" vertical="center"/>
      <protection/>
    </xf>
    <xf numFmtId="191" fontId="0" fillId="0" borderId="30" xfId="68" applyNumberFormat="1" applyFont="1" applyBorder="1" applyAlignment="1">
      <alignment vertical="center"/>
      <protection/>
    </xf>
    <xf numFmtId="191" fontId="0" fillId="0" borderId="46" xfId="68" applyNumberFormat="1" applyFont="1" applyBorder="1" applyAlignment="1">
      <alignment vertical="center" shrinkToFit="1"/>
      <protection/>
    </xf>
    <xf numFmtId="191" fontId="0" fillId="0" borderId="25" xfId="68" applyNumberFormat="1" applyFont="1" applyBorder="1" applyAlignment="1">
      <alignment horizontal="left" vertical="center"/>
      <protection/>
    </xf>
    <xf numFmtId="191" fontId="7" fillId="0" borderId="34" xfId="68" applyNumberFormat="1" applyFont="1" applyFill="1" applyBorder="1" applyAlignment="1">
      <alignment vertical="center" shrinkToFit="1"/>
      <protection/>
    </xf>
    <xf numFmtId="3" fontId="7" fillId="33" borderId="34" xfId="68" applyNumberFormat="1" applyFont="1" applyFill="1" applyBorder="1" applyAlignment="1">
      <alignment vertical="center"/>
      <protection/>
    </xf>
    <xf numFmtId="191" fontId="0" fillId="34" borderId="47" xfId="68" applyNumberFormat="1" applyFont="1" applyFill="1" applyBorder="1" applyAlignment="1">
      <alignment vertical="center"/>
      <protection/>
    </xf>
    <xf numFmtId="191" fontId="0" fillId="34" borderId="48" xfId="68" applyNumberFormat="1" applyFont="1" applyFill="1" applyBorder="1" applyAlignment="1">
      <alignment vertical="center"/>
      <protection/>
    </xf>
    <xf numFmtId="191" fontId="0" fillId="34" borderId="49" xfId="68" applyNumberFormat="1" applyFont="1" applyFill="1" applyBorder="1" applyAlignment="1">
      <alignment vertical="center"/>
      <protection/>
    </xf>
    <xf numFmtId="191" fontId="0" fillId="35" borderId="27" xfId="68" applyNumberFormat="1" applyFont="1" applyFill="1" applyBorder="1" applyAlignment="1">
      <alignment vertical="center"/>
      <protection/>
    </xf>
    <xf numFmtId="191" fontId="0" fillId="35" borderId="50" xfId="68" applyNumberFormat="1" applyFont="1" applyFill="1" applyBorder="1" applyAlignment="1">
      <alignment vertical="center"/>
      <protection/>
    </xf>
    <xf numFmtId="191" fontId="0" fillId="35" borderId="12" xfId="68" applyNumberFormat="1" applyFont="1" applyFill="1" applyBorder="1" applyAlignment="1">
      <alignment vertical="center"/>
      <protection/>
    </xf>
    <xf numFmtId="191" fontId="0" fillId="35" borderId="17" xfId="68" applyNumberFormat="1" applyFont="1" applyFill="1" applyBorder="1" applyAlignment="1">
      <alignment vertical="center" shrinkToFit="1"/>
      <protection/>
    </xf>
    <xf numFmtId="3" fontId="0" fillId="35" borderId="17" xfId="68" applyNumberFormat="1" applyFont="1" applyFill="1" applyBorder="1" applyAlignment="1">
      <alignment vertical="center"/>
      <protection/>
    </xf>
    <xf numFmtId="0" fontId="0" fillId="35" borderId="17" xfId="68" applyFont="1" applyFill="1" applyBorder="1" applyAlignment="1">
      <alignment horizontal="center" vertical="center"/>
      <protection/>
    </xf>
    <xf numFmtId="0" fontId="0" fillId="35" borderId="17" xfId="68" applyFont="1" applyFill="1" applyBorder="1" applyAlignment="1">
      <alignment horizontal="left" vertical="center"/>
      <protection/>
    </xf>
    <xf numFmtId="0" fontId="0" fillId="35" borderId="17" xfId="68" applyFont="1" applyFill="1" applyBorder="1" applyAlignment="1">
      <alignment vertical="center"/>
      <protection/>
    </xf>
    <xf numFmtId="191" fontId="0" fillId="35" borderId="17" xfId="68" applyNumberFormat="1" applyFont="1" applyFill="1" applyBorder="1" applyAlignment="1">
      <alignment vertical="center"/>
      <protection/>
    </xf>
    <xf numFmtId="3" fontId="0" fillId="35" borderId="18" xfId="68" applyNumberFormat="1" applyFont="1" applyFill="1" applyBorder="1" applyAlignment="1">
      <alignment vertical="center"/>
      <protection/>
    </xf>
    <xf numFmtId="191" fontId="0" fillId="35" borderId="51" xfId="68" applyNumberFormat="1" applyFont="1" applyFill="1" applyBorder="1" applyAlignment="1">
      <alignment vertical="center"/>
      <protection/>
    </xf>
    <xf numFmtId="191" fontId="0" fillId="35" borderId="52" xfId="68" applyNumberFormat="1" applyFont="1" applyFill="1" applyBorder="1" applyAlignment="1">
      <alignment vertical="center"/>
      <protection/>
    </xf>
    <xf numFmtId="191" fontId="0" fillId="35" borderId="13" xfId="68" applyNumberFormat="1" applyFont="1" applyFill="1" applyBorder="1" applyAlignment="1">
      <alignment vertical="center" shrinkToFit="1"/>
      <protection/>
    </xf>
    <xf numFmtId="191" fontId="0" fillId="0" borderId="36" xfId="68" applyNumberFormat="1" applyFont="1" applyBorder="1" applyAlignment="1">
      <alignment vertical="center"/>
      <protection/>
    </xf>
    <xf numFmtId="191" fontId="0" fillId="35" borderId="13" xfId="68" applyNumberFormat="1" applyFont="1" applyFill="1" applyBorder="1" applyAlignment="1">
      <alignment horizontal="center" vertical="center"/>
      <protection/>
    </xf>
    <xf numFmtId="191" fontId="7" fillId="35" borderId="34" xfId="68" applyNumberFormat="1" applyFont="1" applyFill="1" applyBorder="1" applyAlignment="1">
      <alignment vertical="center" shrinkToFit="1"/>
      <protection/>
    </xf>
    <xf numFmtId="191" fontId="0" fillId="34" borderId="48" xfId="68" applyNumberFormat="1" applyFont="1" applyFill="1" applyBorder="1" applyAlignment="1">
      <alignment horizontal="left" vertical="center"/>
      <protection/>
    </xf>
    <xf numFmtId="191" fontId="0" fillId="34" borderId="53" xfId="68" applyNumberFormat="1" applyFont="1" applyFill="1" applyBorder="1" applyAlignment="1">
      <alignment vertical="center"/>
      <protection/>
    </xf>
    <xf numFmtId="191" fontId="0" fillId="34" borderId="54" xfId="68" applyNumberFormat="1" applyFont="1" applyFill="1" applyBorder="1" applyAlignment="1">
      <alignment vertical="center"/>
      <protection/>
    </xf>
    <xf numFmtId="191" fontId="0" fillId="34" borderId="48" xfId="68" applyNumberFormat="1" applyFont="1" applyFill="1" applyBorder="1" applyAlignment="1">
      <alignment vertical="center" shrinkToFit="1"/>
      <protection/>
    </xf>
    <xf numFmtId="191" fontId="0" fillId="34" borderId="49" xfId="68" applyNumberFormat="1" applyFont="1" applyFill="1" applyBorder="1" applyAlignment="1">
      <alignment vertical="center" shrinkToFit="1"/>
      <protection/>
    </xf>
    <xf numFmtId="191" fontId="0" fillId="35" borderId="43" xfId="68" applyNumberFormat="1" applyFont="1" applyFill="1" applyBorder="1" applyAlignment="1">
      <alignment horizontal="left" vertical="center"/>
      <protection/>
    </xf>
    <xf numFmtId="191" fontId="0" fillId="35" borderId="55" xfId="68" applyNumberFormat="1" applyFont="1" applyFill="1" applyBorder="1" applyAlignment="1">
      <alignment vertical="center"/>
      <protection/>
    </xf>
    <xf numFmtId="191" fontId="0" fillId="35" borderId="43" xfId="68" applyNumberFormat="1" applyFont="1" applyFill="1" applyBorder="1" applyAlignment="1">
      <alignment vertical="center" shrinkToFit="1"/>
      <protection/>
    </xf>
    <xf numFmtId="191" fontId="0" fillId="35" borderId="43" xfId="68" applyNumberFormat="1" applyFont="1" applyFill="1" applyBorder="1" applyAlignment="1">
      <alignment vertical="center"/>
      <protection/>
    </xf>
    <xf numFmtId="191" fontId="0" fillId="35" borderId="44" xfId="68" applyNumberFormat="1" applyFont="1" applyFill="1" applyBorder="1" applyAlignment="1">
      <alignment vertical="center" shrinkToFit="1"/>
      <protection/>
    </xf>
    <xf numFmtId="191" fontId="0" fillId="35" borderId="41" xfId="68" applyNumberFormat="1" applyFont="1" applyFill="1" applyBorder="1" applyAlignment="1">
      <alignment vertical="center"/>
      <protection/>
    </xf>
    <xf numFmtId="191" fontId="0" fillId="35" borderId="44" xfId="68" applyNumberFormat="1" applyFont="1" applyFill="1" applyBorder="1" applyAlignment="1">
      <alignment vertical="center"/>
      <protection/>
    </xf>
    <xf numFmtId="191" fontId="0" fillId="35" borderId="13" xfId="68" applyNumberFormat="1" applyFont="1" applyFill="1" applyBorder="1" applyAlignment="1">
      <alignment horizontal="left" vertical="center"/>
      <protection/>
    </xf>
    <xf numFmtId="191" fontId="0" fillId="34" borderId="56" xfId="68" applyNumberFormat="1" applyFont="1" applyFill="1" applyBorder="1" applyAlignment="1">
      <alignment vertical="center"/>
      <protection/>
    </xf>
    <xf numFmtId="191" fontId="7" fillId="36" borderId="56" xfId="68" applyNumberFormat="1" applyFont="1" applyFill="1" applyBorder="1" applyAlignment="1">
      <alignment vertical="center"/>
      <protection/>
    </xf>
    <xf numFmtId="191" fontId="0" fillId="36" borderId="57" xfId="68" applyNumberFormat="1" applyFont="1" applyFill="1" applyBorder="1" applyAlignment="1">
      <alignment vertical="center"/>
      <protection/>
    </xf>
    <xf numFmtId="191" fontId="0" fillId="36" borderId="48" xfId="68" applyNumberFormat="1" applyFont="1" applyFill="1" applyBorder="1" applyAlignment="1">
      <alignment vertical="center"/>
      <protection/>
    </xf>
    <xf numFmtId="191" fontId="0" fillId="36" borderId="49" xfId="68" applyNumberFormat="1" applyFont="1" applyFill="1" applyBorder="1" applyAlignment="1">
      <alignment vertical="center" shrinkToFit="1"/>
      <protection/>
    </xf>
    <xf numFmtId="191" fontId="7" fillId="36" borderId="47" xfId="68" applyNumberFormat="1" applyFont="1" applyFill="1" applyBorder="1" applyAlignment="1">
      <alignment vertical="center" shrinkToFit="1"/>
      <protection/>
    </xf>
    <xf numFmtId="191" fontId="7" fillId="36" borderId="48" xfId="68" applyNumberFormat="1" applyFont="1" applyFill="1" applyBorder="1" applyAlignment="1">
      <alignment vertical="center" shrinkToFit="1"/>
      <protection/>
    </xf>
    <xf numFmtId="191" fontId="0" fillId="36" borderId="48" xfId="68" applyNumberFormat="1" applyFont="1" applyFill="1" applyBorder="1" applyAlignment="1">
      <alignment horizontal="left" vertical="center"/>
      <protection/>
    </xf>
    <xf numFmtId="191" fontId="0" fillId="0" borderId="0" xfId="68" applyNumberFormat="1" applyFont="1" applyBorder="1" applyAlignment="1">
      <alignment horizontal="left" vertical="center"/>
      <protection/>
    </xf>
    <xf numFmtId="191" fontId="0" fillId="0" borderId="0" xfId="68" applyNumberFormat="1" applyFont="1" applyBorder="1" applyAlignment="1">
      <alignment horizontal="right" vertical="center"/>
      <protection/>
    </xf>
    <xf numFmtId="191" fontId="0" fillId="0" borderId="21" xfId="68" applyNumberFormat="1" applyFont="1" applyBorder="1" applyAlignment="1">
      <alignment vertical="center" shrinkToFit="1"/>
      <protection/>
    </xf>
    <xf numFmtId="191" fontId="0" fillId="0" borderId="20" xfId="68" applyNumberFormat="1" applyFont="1" applyBorder="1" applyAlignment="1">
      <alignment horizontal="center" vertical="center"/>
      <protection/>
    </xf>
    <xf numFmtId="191" fontId="0" fillId="0" borderId="16" xfId="68" applyNumberFormat="1" applyFont="1" applyBorder="1" applyAlignment="1">
      <alignment vertical="center" wrapText="1"/>
      <protection/>
    </xf>
    <xf numFmtId="191" fontId="0" fillId="0" borderId="15" xfId="68" applyNumberFormat="1" applyFont="1" applyBorder="1" applyAlignment="1">
      <alignment vertical="center"/>
      <protection/>
    </xf>
    <xf numFmtId="191" fontId="0" fillId="0" borderId="12" xfId="68" applyNumberFormat="1" applyFont="1" applyBorder="1" applyAlignment="1">
      <alignment vertical="center"/>
      <protection/>
    </xf>
    <xf numFmtId="191" fontId="0" fillId="0" borderId="30" xfId="68" applyNumberFormat="1" applyFont="1" applyBorder="1" applyAlignment="1">
      <alignment vertical="center"/>
      <protection/>
    </xf>
    <xf numFmtId="191" fontId="0" fillId="0" borderId="17" xfId="68" applyNumberFormat="1" applyFont="1" applyBorder="1" applyAlignment="1">
      <alignment vertical="center" shrinkToFit="1"/>
      <protection/>
    </xf>
    <xf numFmtId="191" fontId="0" fillId="0" borderId="17" xfId="68" applyNumberFormat="1" applyFont="1" applyBorder="1" applyAlignment="1">
      <alignment vertical="center"/>
      <protection/>
    </xf>
    <xf numFmtId="191" fontId="0" fillId="0" borderId="17" xfId="68" applyNumberFormat="1" applyFont="1" applyBorder="1" applyAlignment="1">
      <alignment horizontal="left" vertical="center"/>
      <protection/>
    </xf>
    <xf numFmtId="191" fontId="0" fillId="33" borderId="18" xfId="68" applyNumberFormat="1" applyFont="1" applyFill="1" applyBorder="1" applyAlignment="1">
      <alignment vertical="center" shrinkToFit="1"/>
      <protection/>
    </xf>
    <xf numFmtId="191" fontId="0" fillId="0" borderId="0" xfId="68" applyNumberFormat="1" applyFont="1" applyBorder="1" applyAlignment="1">
      <alignment vertical="center"/>
      <protection/>
    </xf>
    <xf numFmtId="191" fontId="0" fillId="0" borderId="0" xfId="68" applyNumberFormat="1" applyFont="1" applyBorder="1" applyAlignment="1">
      <alignment horizontal="left" vertical="center"/>
      <protection/>
    </xf>
    <xf numFmtId="191" fontId="0" fillId="33" borderId="21" xfId="68" applyNumberFormat="1" applyFont="1" applyFill="1" applyBorder="1" applyAlignment="1">
      <alignment vertical="center" shrinkToFit="1"/>
      <protection/>
    </xf>
    <xf numFmtId="191" fontId="0" fillId="0" borderId="0" xfId="68" applyNumberFormat="1" applyFont="1" applyBorder="1" applyAlignment="1">
      <alignment vertical="center" shrinkToFit="1"/>
      <protection/>
    </xf>
    <xf numFmtId="3" fontId="0" fillId="0" borderId="0" xfId="68" applyNumberFormat="1" applyFont="1" applyBorder="1" applyAlignment="1">
      <alignment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horizontal="left" vertical="center"/>
      <protection/>
    </xf>
    <xf numFmtId="0" fontId="0" fillId="0" borderId="0" xfId="68" applyFont="1" applyBorder="1" applyAlignment="1">
      <alignment vertical="center"/>
      <protection/>
    </xf>
    <xf numFmtId="3" fontId="0" fillId="33" borderId="21" xfId="68" applyNumberFormat="1" applyFont="1" applyFill="1" applyBorder="1" applyAlignment="1">
      <alignment vertical="center"/>
      <protection/>
    </xf>
    <xf numFmtId="191" fontId="7" fillId="0" borderId="58" xfId="68" applyNumberFormat="1" applyFont="1" applyBorder="1" applyAlignment="1">
      <alignment vertical="center"/>
      <protection/>
    </xf>
    <xf numFmtId="191" fontId="7" fillId="0" borderId="32" xfId="68" applyNumberFormat="1" applyFont="1" applyBorder="1" applyAlignment="1">
      <alignment horizontal="center" vertical="center"/>
      <protection/>
    </xf>
    <xf numFmtId="191" fontId="0" fillId="0" borderId="32" xfId="68" applyNumberFormat="1" applyFont="1" applyBorder="1" applyAlignment="1">
      <alignment horizontal="center" vertical="center" shrinkToFit="1"/>
      <protection/>
    </xf>
    <xf numFmtId="191" fontId="7" fillId="33" borderId="35" xfId="68" applyNumberFormat="1" applyFont="1" applyFill="1" applyBorder="1" applyAlignment="1">
      <alignment vertical="center" shrinkToFit="1"/>
      <protection/>
    </xf>
    <xf numFmtId="178" fontId="0" fillId="0" borderId="0" xfId="44" applyNumberFormat="1" applyFont="1" applyBorder="1" applyAlignment="1">
      <alignment vertical="center" shrinkToFit="1"/>
    </xf>
    <xf numFmtId="191" fontId="0" fillId="0" borderId="0" xfId="68" applyNumberFormat="1" applyFont="1" applyBorder="1" applyAlignment="1">
      <alignment horizontal="left" vertical="center" shrinkToFit="1"/>
      <protection/>
    </xf>
    <xf numFmtId="191" fontId="0" fillId="0" borderId="36" xfId="68" applyNumberFormat="1" applyFont="1" applyBorder="1" applyAlignment="1">
      <alignment vertical="center" shrinkToFit="1"/>
      <protection/>
    </xf>
    <xf numFmtId="191" fontId="0" fillId="0" borderId="0" xfId="68" applyNumberFormat="1" applyFont="1" applyBorder="1" applyAlignment="1" quotePrefix="1">
      <alignment vertical="center"/>
      <protection/>
    </xf>
    <xf numFmtId="196" fontId="0" fillId="0" borderId="0" xfId="68" applyNumberFormat="1" applyFont="1" applyBorder="1" applyAlignment="1">
      <alignment vertical="center" shrinkToFit="1"/>
      <protection/>
    </xf>
    <xf numFmtId="200" fontId="0" fillId="0" borderId="0" xfId="68" applyNumberFormat="1" applyFont="1" applyBorder="1" applyAlignment="1">
      <alignment vertical="center" shrinkToFit="1"/>
      <protection/>
    </xf>
    <xf numFmtId="0" fontId="0" fillId="0" borderId="0" xfId="68" applyFont="1" applyBorder="1" applyAlignment="1" applyProtection="1">
      <alignment horizontal="center" vertical="center"/>
      <protection locked="0"/>
    </xf>
    <xf numFmtId="191" fontId="0" fillId="0" borderId="0" xfId="68" applyNumberFormat="1" applyFont="1" applyBorder="1" applyAlignment="1" quotePrefix="1">
      <alignment horizontal="left" vertical="center" indent="1" shrinkToFit="1"/>
      <protection/>
    </xf>
    <xf numFmtId="41" fontId="0" fillId="0" borderId="0" xfId="50" applyFont="1" applyBorder="1" applyAlignment="1">
      <alignment vertical="center" shrinkToFit="1"/>
    </xf>
    <xf numFmtId="191" fontId="0" fillId="0" borderId="0" xfId="68" applyNumberFormat="1" applyFont="1" applyBorder="1" applyAlignment="1" quotePrefix="1">
      <alignment vertical="center" shrinkToFit="1"/>
      <protection/>
    </xf>
    <xf numFmtId="191" fontId="7" fillId="0" borderId="32" xfId="68" applyNumberFormat="1" applyFont="1" applyBorder="1" applyAlignment="1">
      <alignment horizontal="center" vertical="center" shrinkToFit="1"/>
      <protection/>
    </xf>
    <xf numFmtId="191" fontId="0" fillId="0" borderId="0" xfId="68" applyNumberFormat="1" applyFont="1" applyAlignment="1">
      <alignment vertical="center" shrinkToFit="1"/>
      <protection/>
    </xf>
    <xf numFmtId="191" fontId="0" fillId="0" borderId="0" xfId="68" applyNumberFormat="1" applyFont="1" applyFill="1" applyBorder="1" applyAlignment="1">
      <alignment vertical="center"/>
      <protection/>
    </xf>
    <xf numFmtId="191" fontId="0" fillId="0" borderId="0" xfId="68" applyNumberFormat="1" applyFont="1" applyFill="1" applyBorder="1" applyAlignment="1">
      <alignment horizontal="left" vertical="center"/>
      <protection/>
    </xf>
    <xf numFmtId="191" fontId="0" fillId="0" borderId="0" xfId="68" applyNumberFormat="1" applyFont="1" applyFill="1" applyBorder="1" applyAlignment="1" quotePrefix="1">
      <alignment vertical="center"/>
      <protection/>
    </xf>
    <xf numFmtId="191" fontId="7" fillId="0" borderId="0" xfId="68" applyNumberFormat="1" applyFont="1" applyFill="1" applyBorder="1" applyAlignment="1">
      <alignment vertical="center"/>
      <protection/>
    </xf>
    <xf numFmtId="191" fontId="7" fillId="0" borderId="0" xfId="68" applyNumberFormat="1" applyFont="1" applyFill="1" applyBorder="1" applyAlignment="1">
      <alignment horizontal="left" vertical="center"/>
      <protection/>
    </xf>
    <xf numFmtId="191" fontId="7" fillId="0" borderId="0" xfId="68" applyNumberFormat="1" applyFont="1" applyFill="1" applyBorder="1" applyAlignment="1" quotePrefix="1">
      <alignment vertical="center"/>
      <protection/>
    </xf>
    <xf numFmtId="191" fontId="7" fillId="0" borderId="17" xfId="68" applyNumberFormat="1" applyFont="1" applyBorder="1" applyAlignment="1">
      <alignment vertical="center" shrinkToFit="1"/>
      <protection/>
    </xf>
    <xf numFmtId="191" fontId="0" fillId="35" borderId="59" xfId="68" applyNumberFormat="1" applyFont="1" applyFill="1" applyBorder="1" applyAlignment="1">
      <alignment vertical="center"/>
      <protection/>
    </xf>
    <xf numFmtId="0" fontId="74" fillId="0" borderId="0" xfId="69" applyFont="1" applyAlignment="1">
      <alignment horizontal="left"/>
      <protection/>
    </xf>
    <xf numFmtId="0" fontId="75" fillId="0" borderId="0" xfId="69" applyFont="1" applyAlignment="1">
      <alignment horizontal="left"/>
      <protection/>
    </xf>
    <xf numFmtId="0" fontId="76" fillId="0" borderId="0" xfId="69" applyFont="1">
      <alignment vertical="center"/>
      <protection/>
    </xf>
    <xf numFmtId="0" fontId="77" fillId="0" borderId="0" xfId="69" applyFont="1" applyAlignment="1">
      <alignment horizontal="left"/>
      <protection/>
    </xf>
    <xf numFmtId="0" fontId="78" fillId="0" borderId="0" xfId="69" applyFont="1" applyAlignment="1">
      <alignment horizontal="centerContinuous" vertical="center"/>
      <protection/>
    </xf>
    <xf numFmtId="0" fontId="79" fillId="0" borderId="0" xfId="69" applyFont="1">
      <alignment vertical="center"/>
      <protection/>
    </xf>
    <xf numFmtId="0" fontId="2" fillId="0" borderId="0" xfId="69" applyFont="1" applyBorder="1">
      <alignment vertical="center"/>
      <protection/>
    </xf>
    <xf numFmtId="0" fontId="80" fillId="0" borderId="0" xfId="69" applyFont="1" applyAlignment="1">
      <alignment horizontal="centerContinuous" vertical="center" wrapText="1"/>
      <protection/>
    </xf>
    <xf numFmtId="0" fontId="81" fillId="0" borderId="0" xfId="69" applyFont="1">
      <alignment vertical="center"/>
      <protection/>
    </xf>
    <xf numFmtId="0" fontId="81" fillId="0" borderId="0" xfId="69" applyFont="1" applyAlignment="1">
      <alignment vertical="center"/>
      <protection/>
    </xf>
    <xf numFmtId="0" fontId="82" fillId="0" borderId="0" xfId="69" applyFont="1">
      <alignment vertical="center"/>
      <protection/>
    </xf>
    <xf numFmtId="0" fontId="83" fillId="0" borderId="0" xfId="69" applyFont="1" applyAlignment="1">
      <alignment horizontal="centerContinuous" vertical="center"/>
      <protection/>
    </xf>
    <xf numFmtId="0" fontId="84" fillId="0" borderId="0" xfId="69" applyFont="1">
      <alignment vertical="center"/>
      <protection/>
    </xf>
    <xf numFmtId="0" fontId="85" fillId="0" borderId="0" xfId="69" applyFont="1" applyAlignment="1">
      <alignment horizontal="center"/>
      <protection/>
    </xf>
    <xf numFmtId="0" fontId="86" fillId="0" borderId="0" xfId="69" applyFont="1">
      <alignment vertical="center"/>
      <protection/>
    </xf>
    <xf numFmtId="191" fontId="2" fillId="0" borderId="0" xfId="68" applyNumberFormat="1" applyFont="1" applyAlignment="1">
      <alignment vertical="center"/>
      <protection/>
    </xf>
    <xf numFmtId="191" fontId="2" fillId="0" borderId="0" xfId="68" applyNumberFormat="1" applyFont="1" applyAlignment="1">
      <alignment horizontal="right" vertical="center"/>
      <protection/>
    </xf>
    <xf numFmtId="191" fontId="16" fillId="0" borderId="0" xfId="68" applyNumberFormat="1" applyFont="1" applyAlignment="1">
      <alignment vertical="center"/>
      <protection/>
    </xf>
    <xf numFmtId="191" fontId="17" fillId="0" borderId="0" xfId="68" applyNumberFormat="1" applyFont="1" applyAlignment="1">
      <alignment vertical="center"/>
      <protection/>
    </xf>
    <xf numFmtId="185" fontId="18" fillId="0" borderId="0" xfId="67" applyNumberFormat="1" applyFont="1" applyAlignment="1">
      <alignment vertical="center"/>
      <protection/>
    </xf>
    <xf numFmtId="41" fontId="21" fillId="0" borderId="0" xfId="51" applyFont="1" applyAlignment="1">
      <alignment horizontal="left" vertical="center"/>
    </xf>
    <xf numFmtId="185" fontId="18" fillId="0" borderId="0" xfId="67" applyNumberFormat="1" applyFont="1" applyAlignment="1">
      <alignment horizontal="right" vertical="center"/>
      <protection/>
    </xf>
    <xf numFmtId="185" fontId="2" fillId="0" borderId="60" xfId="67" applyNumberFormat="1" applyFont="1" applyBorder="1" applyAlignment="1">
      <alignment horizontal="center"/>
      <protection/>
    </xf>
    <xf numFmtId="185" fontId="18" fillId="0" borderId="0" xfId="67" applyNumberFormat="1" applyFont="1" applyAlignment="1">
      <alignment/>
      <protection/>
    </xf>
    <xf numFmtId="185" fontId="18" fillId="0" borderId="61" xfId="67" applyNumberFormat="1" applyFont="1" applyBorder="1" applyAlignment="1">
      <alignment horizontal="center" vertical="top"/>
      <protection/>
    </xf>
    <xf numFmtId="185" fontId="18" fillId="0" borderId="0" xfId="67" applyNumberFormat="1" applyFont="1" applyAlignment="1">
      <alignment vertical="top"/>
      <protection/>
    </xf>
    <xf numFmtId="185" fontId="2" fillId="0" borderId="62" xfId="67" applyNumberFormat="1" applyFont="1" applyBorder="1" applyAlignment="1">
      <alignment horizontal="center" vertical="center"/>
      <protection/>
    </xf>
    <xf numFmtId="185" fontId="18" fillId="0" borderId="62" xfId="67" applyNumberFormat="1" applyFont="1" applyBorder="1" applyAlignment="1">
      <alignment horizontal="right" vertical="center"/>
      <protection/>
    </xf>
    <xf numFmtId="10" fontId="18" fillId="0" borderId="62" xfId="45" applyNumberFormat="1" applyFont="1" applyBorder="1" applyAlignment="1">
      <alignment horizontal="center" vertical="center"/>
    </xf>
    <xf numFmtId="185" fontId="18" fillId="0" borderId="0" xfId="67" applyNumberFormat="1" applyFont="1" applyAlignment="1">
      <alignment horizontal="center" vertical="center"/>
      <protection/>
    </xf>
    <xf numFmtId="191" fontId="87" fillId="0" borderId="0" xfId="68" applyNumberFormat="1" applyFont="1" applyAlignment="1">
      <alignment vertical="center"/>
      <protection/>
    </xf>
    <xf numFmtId="191" fontId="88" fillId="0" borderId="0" xfId="68" applyNumberFormat="1" applyFont="1" applyAlignment="1">
      <alignment vertical="center"/>
      <protection/>
    </xf>
    <xf numFmtId="191" fontId="0" fillId="0" borderId="22" xfId="68" applyNumberFormat="1" applyFont="1" applyBorder="1" applyAlignment="1">
      <alignment vertical="center"/>
      <protection/>
    </xf>
    <xf numFmtId="191" fontId="0" fillId="0" borderId="20" xfId="68" applyNumberFormat="1" applyFont="1" applyBorder="1" applyAlignment="1">
      <alignment horizontal="left" vertical="center"/>
      <protection/>
    </xf>
    <xf numFmtId="191" fontId="0" fillId="0" borderId="0" xfId="68" applyNumberFormat="1" applyFont="1" applyBorder="1" applyAlignment="1">
      <alignment vertical="center"/>
      <protection/>
    </xf>
    <xf numFmtId="191" fontId="0" fillId="0" borderId="21" xfId="68" applyNumberFormat="1" applyFont="1" applyBorder="1" applyAlignment="1">
      <alignment vertical="center" shrinkToFit="1"/>
      <protection/>
    </xf>
    <xf numFmtId="191" fontId="0" fillId="0" borderId="0" xfId="68" applyNumberFormat="1" applyFont="1" applyFill="1" applyBorder="1" applyAlignment="1">
      <alignment horizontal="left" vertical="center"/>
      <protection/>
    </xf>
    <xf numFmtId="191" fontId="0" fillId="0" borderId="0" xfId="68" applyNumberFormat="1" applyFont="1" applyFill="1" applyBorder="1" applyAlignment="1">
      <alignment horizontal="left" vertical="center" shrinkToFit="1"/>
      <protection/>
    </xf>
    <xf numFmtId="9" fontId="0" fillId="0" borderId="0" xfId="68" applyNumberFormat="1" applyFont="1" applyBorder="1" applyAlignment="1">
      <alignment vertical="center"/>
      <protection/>
    </xf>
    <xf numFmtId="191" fontId="0" fillId="0" borderId="0" xfId="68" applyNumberFormat="1" applyFont="1" applyBorder="1" applyAlignment="1">
      <alignment vertical="center" shrinkToFit="1"/>
      <protection/>
    </xf>
    <xf numFmtId="191" fontId="0" fillId="0" borderId="0" xfId="68" applyNumberFormat="1" applyFont="1" applyFill="1" applyBorder="1" applyAlignment="1">
      <alignment vertical="center"/>
      <protection/>
    </xf>
    <xf numFmtId="191" fontId="23" fillId="0" borderId="63" xfId="68" applyNumberFormat="1" applyFont="1" applyBorder="1" applyAlignment="1">
      <alignment horizontal="center" vertical="center"/>
      <protection/>
    </xf>
    <xf numFmtId="191" fontId="23" fillId="0" borderId="64" xfId="68" applyNumberFormat="1" applyFont="1" applyBorder="1" applyAlignment="1">
      <alignment horizontal="center" vertical="center"/>
      <protection/>
    </xf>
    <xf numFmtId="191" fontId="23" fillId="0" borderId="64" xfId="68" applyNumberFormat="1" applyFont="1" applyBorder="1" applyAlignment="1">
      <alignment horizontal="center" vertical="center" wrapText="1"/>
      <protection/>
    </xf>
    <xf numFmtId="191" fontId="23" fillId="0" borderId="65" xfId="68" applyNumberFormat="1" applyFont="1" applyBorder="1" applyAlignment="1">
      <alignment horizontal="center" vertical="center" wrapText="1"/>
      <protection/>
    </xf>
    <xf numFmtId="191" fontId="23" fillId="0" borderId="0" xfId="68" applyNumberFormat="1" applyFont="1" applyAlignment="1">
      <alignment vertical="center"/>
      <protection/>
    </xf>
    <xf numFmtId="191" fontId="25" fillId="0" borderId="66" xfId="68" applyNumberFormat="1" applyFont="1" applyBorder="1" applyAlignment="1">
      <alignment vertical="center"/>
      <protection/>
    </xf>
    <xf numFmtId="193" fontId="25" fillId="0" borderId="66" xfId="68" applyNumberFormat="1" applyFont="1" applyBorder="1" applyAlignment="1">
      <alignment vertical="center"/>
      <protection/>
    </xf>
    <xf numFmtId="10" fontId="25" fillId="0" borderId="67" xfId="68" applyNumberFormat="1" applyFont="1" applyBorder="1" applyAlignment="1">
      <alignment vertical="center"/>
      <protection/>
    </xf>
    <xf numFmtId="191" fontId="23" fillId="0" borderId="62" xfId="68" applyNumberFormat="1" applyFont="1" applyBorder="1" applyAlignment="1">
      <alignment horizontal="distributed" vertical="center"/>
      <protection/>
    </xf>
    <xf numFmtId="191" fontId="25" fillId="0" borderId="62" xfId="68" applyNumberFormat="1" applyFont="1" applyBorder="1" applyAlignment="1">
      <alignment vertical="center"/>
      <protection/>
    </xf>
    <xf numFmtId="193" fontId="25" fillId="0" borderId="62" xfId="68" applyNumberFormat="1" applyFont="1" applyBorder="1" applyAlignment="1">
      <alignment vertical="center"/>
      <protection/>
    </xf>
    <xf numFmtId="10" fontId="25" fillId="0" borderId="68" xfId="68" applyNumberFormat="1" applyFont="1" applyBorder="1" applyAlignment="1">
      <alignment vertical="center"/>
      <protection/>
    </xf>
    <xf numFmtId="191" fontId="23" fillId="0" borderId="62" xfId="68" applyNumberFormat="1" applyFont="1" applyBorder="1" applyAlignment="1">
      <alignment vertical="center"/>
      <protection/>
    </xf>
    <xf numFmtId="191" fontId="23" fillId="0" borderId="62" xfId="68" applyNumberFormat="1" applyFont="1" applyBorder="1" applyAlignment="1">
      <alignment horizontal="center" vertical="center"/>
      <protection/>
    </xf>
    <xf numFmtId="191" fontId="26" fillId="0" borderId="69" xfId="68" applyNumberFormat="1" applyFont="1" applyBorder="1" applyAlignment="1">
      <alignment vertical="center"/>
      <protection/>
    </xf>
    <xf numFmtId="191" fontId="26" fillId="0" borderId="69" xfId="68" applyNumberFormat="1" applyFont="1" applyBorder="1" applyAlignment="1">
      <alignment horizontal="right" vertical="center"/>
      <protection/>
    </xf>
    <xf numFmtId="10" fontId="25" fillId="0" borderId="70" xfId="68" applyNumberFormat="1" applyFont="1" applyBorder="1" applyAlignment="1">
      <alignment vertical="center"/>
      <protection/>
    </xf>
    <xf numFmtId="191" fontId="25" fillId="0" borderId="61" xfId="68" applyNumberFormat="1" applyFont="1" applyBorder="1" applyAlignment="1">
      <alignment vertical="center"/>
      <protection/>
    </xf>
    <xf numFmtId="10" fontId="25" fillId="0" borderId="71" xfId="68" applyNumberFormat="1" applyFont="1" applyBorder="1" applyAlignment="1">
      <alignment vertical="center"/>
      <protection/>
    </xf>
    <xf numFmtId="191" fontId="25" fillId="0" borderId="62" xfId="68" applyNumberFormat="1" applyFont="1" applyBorder="1" applyAlignment="1">
      <alignment horizontal="right" vertical="center"/>
      <protection/>
    </xf>
    <xf numFmtId="191" fontId="24" fillId="0" borderId="69" xfId="68" applyNumberFormat="1" applyFont="1" applyBorder="1" applyAlignment="1">
      <alignment vertical="center"/>
      <protection/>
    </xf>
    <xf numFmtId="10" fontId="23" fillId="0" borderId="70" xfId="68" applyNumberFormat="1" applyFont="1" applyBorder="1" applyAlignment="1">
      <alignment vertical="center"/>
      <protection/>
    </xf>
    <xf numFmtId="191" fontId="88" fillId="0" borderId="0" xfId="68" applyNumberFormat="1" applyFont="1" applyAlignment="1">
      <alignment vertical="center" shrinkToFit="1"/>
      <protection/>
    </xf>
    <xf numFmtId="191" fontId="23" fillId="0" borderId="0" xfId="68" applyNumberFormat="1" applyFont="1" applyAlignment="1">
      <alignment horizontal="right" vertical="center"/>
      <protection/>
    </xf>
    <xf numFmtId="191" fontId="23" fillId="0" borderId="0" xfId="68" applyNumberFormat="1" applyFont="1" applyAlignment="1">
      <alignment vertical="center" shrinkToFit="1"/>
      <protection/>
    </xf>
    <xf numFmtId="191" fontId="2" fillId="0" borderId="62" xfId="68" applyNumberFormat="1" applyFont="1" applyBorder="1" applyAlignment="1">
      <alignment horizontal="center" vertical="center"/>
      <protection/>
    </xf>
    <xf numFmtId="191" fontId="2" fillId="0" borderId="62" xfId="68" applyNumberFormat="1" applyFont="1" applyBorder="1" applyAlignment="1">
      <alignment vertical="center"/>
      <protection/>
    </xf>
    <xf numFmtId="191" fontId="2" fillId="0" borderId="62" xfId="68" applyNumberFormat="1" applyFont="1" applyBorder="1" applyAlignment="1">
      <alignment vertical="center" wrapText="1"/>
      <protection/>
    </xf>
    <xf numFmtId="191" fontId="18" fillId="0" borderId="62" xfId="68" applyNumberFormat="1" applyFont="1" applyBorder="1" applyAlignment="1">
      <alignment vertical="center"/>
      <protection/>
    </xf>
    <xf numFmtId="194" fontId="18" fillId="0" borderId="62" xfId="68" applyNumberFormat="1" applyFont="1" applyBorder="1" applyAlignment="1">
      <alignment vertical="center"/>
      <protection/>
    </xf>
    <xf numFmtId="191" fontId="18" fillId="0" borderId="62" xfId="68" applyNumberFormat="1" applyFont="1" applyBorder="1" applyAlignment="1">
      <alignment horizontal="right" vertical="center"/>
      <protection/>
    </xf>
    <xf numFmtId="0" fontId="89" fillId="0" borderId="0" xfId="69" applyFont="1">
      <alignment vertical="center"/>
      <protection/>
    </xf>
    <xf numFmtId="0" fontId="86" fillId="0" borderId="72" xfId="69" applyFont="1" applyBorder="1" applyAlignment="1">
      <alignment horizontal="center" vertical="center"/>
      <protection/>
    </xf>
    <xf numFmtId="0" fontId="86" fillId="0" borderId="73" xfId="69" applyFont="1" applyBorder="1">
      <alignment vertical="center"/>
      <protection/>
    </xf>
    <xf numFmtId="0" fontId="86" fillId="0" borderId="74" xfId="69" applyFont="1" applyBorder="1">
      <alignment vertical="center"/>
      <protection/>
    </xf>
    <xf numFmtId="0" fontId="86" fillId="0" borderId="36" xfId="69" applyFont="1" applyBorder="1" applyAlignment="1">
      <alignment horizontal="center" vertical="center"/>
      <protection/>
    </xf>
    <xf numFmtId="0" fontId="86" fillId="0" borderId="0" xfId="69" applyFont="1" applyBorder="1">
      <alignment vertical="center"/>
      <protection/>
    </xf>
    <xf numFmtId="0" fontId="86" fillId="0" borderId="21" xfId="69" applyFont="1" applyBorder="1">
      <alignment vertical="center"/>
      <protection/>
    </xf>
    <xf numFmtId="0" fontId="86" fillId="0" borderId="36" xfId="69" applyFont="1" applyBorder="1">
      <alignment vertical="center"/>
      <protection/>
    </xf>
    <xf numFmtId="0" fontId="13" fillId="0" borderId="36" xfId="69" applyFont="1" applyBorder="1">
      <alignment vertical="center"/>
      <protection/>
    </xf>
    <xf numFmtId="0" fontId="13" fillId="0" borderId="0" xfId="69" applyFont="1" applyBorder="1">
      <alignment vertical="center"/>
      <protection/>
    </xf>
    <xf numFmtId="0" fontId="13" fillId="0" borderId="21" xfId="69" applyFont="1" applyBorder="1">
      <alignment vertical="center"/>
      <protection/>
    </xf>
    <xf numFmtId="0" fontId="2" fillId="0" borderId="36" xfId="69" applyFont="1" applyBorder="1">
      <alignment vertical="center"/>
      <protection/>
    </xf>
    <xf numFmtId="0" fontId="2" fillId="0" borderId="21" xfId="69" applyFont="1" applyBorder="1">
      <alignment vertical="center"/>
      <protection/>
    </xf>
    <xf numFmtId="0" fontId="2" fillId="0" borderId="75" xfId="69" applyFont="1" applyBorder="1">
      <alignment vertical="center"/>
      <protection/>
    </xf>
    <xf numFmtId="0" fontId="2" fillId="0" borderId="76" xfId="69" applyFont="1" applyBorder="1">
      <alignment vertical="center"/>
      <protection/>
    </xf>
    <xf numFmtId="0" fontId="2" fillId="0" borderId="77" xfId="69" applyFont="1" applyBorder="1">
      <alignment vertical="center"/>
      <protection/>
    </xf>
    <xf numFmtId="0" fontId="86" fillId="7" borderId="62" xfId="69" applyFont="1" applyFill="1" applyBorder="1" applyAlignment="1">
      <alignment horizontal="center" vertical="center"/>
      <protection/>
    </xf>
    <xf numFmtId="0" fontId="90" fillId="0" borderId="0" xfId="69" applyFont="1">
      <alignment vertical="center"/>
      <protection/>
    </xf>
    <xf numFmtId="191" fontId="0" fillId="0" borderId="19" xfId="68" applyNumberFormat="1" applyFont="1" applyBorder="1" applyAlignment="1">
      <alignment vertical="center"/>
      <protection/>
    </xf>
    <xf numFmtId="3" fontId="0" fillId="33" borderId="21" xfId="68" applyNumberFormat="1" applyFont="1" applyFill="1" applyBorder="1" applyAlignment="1">
      <alignment vertical="center"/>
      <protection/>
    </xf>
    <xf numFmtId="191" fontId="0" fillId="33" borderId="21" xfId="68" applyNumberFormat="1" applyFont="1" applyFill="1" applyBorder="1" applyAlignment="1">
      <alignment vertical="center" shrinkToFit="1"/>
      <protection/>
    </xf>
    <xf numFmtId="0" fontId="0" fillId="0" borderId="0" xfId="68" applyFont="1" applyBorder="1" applyAlignment="1">
      <alignment horizontal="center" vertical="center"/>
      <protection/>
    </xf>
    <xf numFmtId="191" fontId="0" fillId="35" borderId="78" xfId="68" applyNumberFormat="1" applyFont="1" applyFill="1" applyBorder="1" applyAlignment="1">
      <alignment vertical="center"/>
      <protection/>
    </xf>
    <xf numFmtId="191" fontId="0" fillId="35" borderId="79" xfId="68" applyNumberFormat="1" applyFont="1" applyFill="1" applyBorder="1" applyAlignment="1">
      <alignment vertical="center"/>
      <protection/>
    </xf>
    <xf numFmtId="0" fontId="0" fillId="0" borderId="0" xfId="68" applyFont="1" applyBorder="1" applyAlignment="1">
      <alignment horizontal="left" vertical="center"/>
      <protection/>
    </xf>
    <xf numFmtId="3" fontId="0" fillId="0" borderId="0" xfId="68" applyNumberFormat="1" applyFont="1" applyBorder="1" applyAlignment="1">
      <alignment vertical="center"/>
      <protection/>
    </xf>
    <xf numFmtId="191" fontId="0" fillId="0" borderId="0" xfId="68" applyNumberFormat="1" applyFont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191" fontId="7" fillId="0" borderId="20" xfId="68" applyNumberFormat="1" applyFont="1" applyBorder="1" applyAlignment="1">
      <alignment vertical="center" shrinkToFit="1"/>
      <protection/>
    </xf>
    <xf numFmtId="0" fontId="83" fillId="0" borderId="0" xfId="69" applyFont="1" applyAlignment="1">
      <alignment horizontal="center" vertical="center"/>
      <protection/>
    </xf>
    <xf numFmtId="0" fontId="91" fillId="0" borderId="0" xfId="69" applyFont="1" applyAlignment="1">
      <alignment horizontal="center" vertical="center"/>
      <protection/>
    </xf>
    <xf numFmtId="0" fontId="84" fillId="0" borderId="0" xfId="69" applyFont="1" applyAlignment="1">
      <alignment horizontal="center" vertical="center"/>
      <protection/>
    </xf>
    <xf numFmtId="0" fontId="86" fillId="7" borderId="62" xfId="69" applyFont="1" applyFill="1" applyBorder="1" applyAlignment="1">
      <alignment horizontal="center" vertical="center"/>
      <protection/>
    </xf>
    <xf numFmtId="0" fontId="86" fillId="0" borderId="62" xfId="69" applyFont="1" applyBorder="1" applyAlignment="1">
      <alignment horizontal="center" vertical="center"/>
      <protection/>
    </xf>
    <xf numFmtId="41" fontId="86" fillId="0" borderId="62" xfId="50" applyFont="1" applyBorder="1" applyAlignment="1">
      <alignment vertical="center"/>
    </xf>
    <xf numFmtId="0" fontId="3" fillId="0" borderId="0" xfId="69" applyFont="1" applyAlignment="1">
      <alignment horizontal="center" vertical="center"/>
      <protection/>
    </xf>
    <xf numFmtId="0" fontId="90" fillId="0" borderId="0" xfId="69" applyFont="1" applyAlignment="1">
      <alignment horizontal="center" vertical="center"/>
      <protection/>
    </xf>
    <xf numFmtId="185" fontId="19" fillId="0" borderId="0" xfId="67" applyNumberFormat="1" applyFont="1" applyAlignment="1">
      <alignment horizontal="center" vertical="center"/>
      <protection/>
    </xf>
    <xf numFmtId="185" fontId="20" fillId="0" borderId="0" xfId="67" applyNumberFormat="1" applyFont="1" applyAlignment="1">
      <alignment horizontal="center" vertical="center"/>
      <protection/>
    </xf>
    <xf numFmtId="191" fontId="23" fillId="0" borderId="60" xfId="68" applyNumberFormat="1" applyFont="1" applyBorder="1" applyAlignment="1">
      <alignment horizontal="center" vertical="center"/>
      <protection/>
    </xf>
    <xf numFmtId="191" fontId="23" fillId="0" borderId="80" xfId="68" applyNumberFormat="1" applyFont="1" applyBorder="1" applyAlignment="1">
      <alignment horizontal="center" vertical="center"/>
      <protection/>
    </xf>
    <xf numFmtId="191" fontId="23" fillId="0" borderId="61" xfId="68" applyNumberFormat="1" applyFont="1" applyBorder="1" applyAlignment="1">
      <alignment horizontal="center" vertical="center"/>
      <protection/>
    </xf>
    <xf numFmtId="191" fontId="23" fillId="0" borderId="62" xfId="68" applyNumberFormat="1" applyFont="1" applyBorder="1" applyAlignment="1">
      <alignment vertical="center"/>
      <protection/>
    </xf>
    <xf numFmtId="191" fontId="24" fillId="0" borderId="81" xfId="68" applyNumberFormat="1" applyFont="1" applyBorder="1" applyAlignment="1">
      <alignment horizontal="center" vertical="center" textRotation="255"/>
      <protection/>
    </xf>
    <xf numFmtId="191" fontId="24" fillId="0" borderId="82" xfId="68" applyNumberFormat="1" applyFont="1" applyBorder="1" applyAlignment="1">
      <alignment horizontal="center" vertical="center" textRotation="255"/>
      <protection/>
    </xf>
    <xf numFmtId="191" fontId="24" fillId="0" borderId="83" xfId="68" applyNumberFormat="1" applyFont="1" applyBorder="1" applyAlignment="1">
      <alignment horizontal="center" vertical="center" textRotation="255"/>
      <protection/>
    </xf>
    <xf numFmtId="191" fontId="24" fillId="0" borderId="69" xfId="68" applyNumberFormat="1" applyFont="1" applyBorder="1" applyAlignment="1">
      <alignment horizontal="center" vertical="center"/>
      <protection/>
    </xf>
    <xf numFmtId="191" fontId="23" fillId="0" borderId="61" xfId="68" applyNumberFormat="1" applyFont="1" applyBorder="1" applyAlignment="1">
      <alignment vertical="center"/>
      <protection/>
    </xf>
    <xf numFmtId="191" fontId="78" fillId="0" borderId="0" xfId="68" applyNumberFormat="1" applyFont="1" applyBorder="1" applyAlignment="1">
      <alignment horizontal="center" vertical="center"/>
      <protection/>
    </xf>
    <xf numFmtId="191" fontId="23" fillId="0" borderId="66" xfId="68" applyNumberFormat="1" applyFont="1" applyBorder="1" applyAlignment="1">
      <alignment vertical="center"/>
      <protection/>
    </xf>
    <xf numFmtId="191" fontId="24" fillId="0" borderId="84" xfId="68" applyNumberFormat="1" applyFont="1" applyBorder="1" applyAlignment="1">
      <alignment horizontal="center" vertical="center" textRotation="255"/>
      <protection/>
    </xf>
    <xf numFmtId="191" fontId="23" fillId="0" borderId="64" xfId="68" applyNumberFormat="1" applyFont="1" applyBorder="1" applyAlignment="1">
      <alignment horizontal="center" vertical="center"/>
      <protection/>
    </xf>
    <xf numFmtId="191" fontId="0" fillId="0" borderId="14" xfId="68" applyNumberFormat="1" applyFont="1" applyBorder="1" applyAlignment="1">
      <alignment horizontal="center" vertical="center"/>
      <protection/>
    </xf>
    <xf numFmtId="191" fontId="0" fillId="0" borderId="85" xfId="68" applyNumberFormat="1" applyFont="1" applyBorder="1" applyAlignment="1">
      <alignment horizontal="center" vertical="center"/>
      <protection/>
    </xf>
    <xf numFmtId="191" fontId="7" fillId="36" borderId="86" xfId="68" applyNumberFormat="1" applyFont="1" applyFill="1" applyBorder="1" applyAlignment="1">
      <alignment horizontal="center" vertical="center"/>
      <protection/>
    </xf>
    <xf numFmtId="191" fontId="7" fillId="36" borderId="48" xfId="68" applyNumberFormat="1" applyFont="1" applyFill="1" applyBorder="1" applyAlignment="1">
      <alignment horizontal="center" vertical="center"/>
      <protection/>
    </xf>
    <xf numFmtId="191" fontId="7" fillId="36" borderId="53" xfId="68" applyNumberFormat="1" applyFont="1" applyFill="1" applyBorder="1" applyAlignment="1">
      <alignment horizontal="center" vertical="center"/>
      <protection/>
    </xf>
    <xf numFmtId="191" fontId="0" fillId="35" borderId="33" xfId="68" applyNumberFormat="1" applyFont="1" applyFill="1" applyBorder="1" applyAlignment="1">
      <alignment horizontal="left" vertical="center"/>
      <protection/>
    </xf>
    <xf numFmtId="191" fontId="0" fillId="35" borderId="79" xfId="68" applyNumberFormat="1" applyFont="1" applyFill="1" applyBorder="1" applyAlignment="1">
      <alignment horizontal="left" vertical="center"/>
      <protection/>
    </xf>
    <xf numFmtId="191" fontId="0" fillId="0" borderId="12" xfId="68" applyNumberFormat="1" applyFont="1" applyBorder="1" applyAlignment="1">
      <alignment vertical="center"/>
      <protection/>
    </xf>
    <xf numFmtId="191" fontId="0" fillId="0" borderId="14" xfId="68" applyNumberFormat="1" applyFont="1" applyBorder="1" applyAlignment="1">
      <alignment vertical="center"/>
      <protection/>
    </xf>
    <xf numFmtId="191" fontId="0" fillId="0" borderId="37" xfId="68" applyNumberFormat="1" applyFont="1" applyBorder="1" applyAlignment="1">
      <alignment horizontal="center" vertical="center"/>
      <protection/>
    </xf>
    <xf numFmtId="191" fontId="0" fillId="35" borderId="33" xfId="68" applyNumberFormat="1" applyFont="1" applyFill="1" applyBorder="1" applyAlignment="1">
      <alignment horizontal="left" vertical="center"/>
      <protection/>
    </xf>
    <xf numFmtId="191" fontId="0" fillId="0" borderId="15" xfId="68" applyNumberFormat="1" applyFont="1" applyBorder="1" applyAlignment="1">
      <alignment vertical="center"/>
      <protection/>
    </xf>
    <xf numFmtId="191" fontId="0" fillId="0" borderId="19" xfId="68" applyNumberFormat="1" applyFont="1" applyBorder="1" applyAlignment="1">
      <alignment vertical="center"/>
      <protection/>
    </xf>
    <xf numFmtId="191" fontId="0" fillId="34" borderId="87" xfId="68" applyNumberFormat="1" applyFont="1" applyFill="1" applyBorder="1" applyAlignment="1">
      <alignment horizontal="left" vertical="center"/>
      <protection/>
    </xf>
    <xf numFmtId="191" fontId="0" fillId="34" borderId="43" xfId="68" applyNumberFormat="1" applyFont="1" applyFill="1" applyBorder="1" applyAlignment="1">
      <alignment horizontal="left" vertical="center"/>
      <protection/>
    </xf>
    <xf numFmtId="191" fontId="0" fillId="34" borderId="88" xfId="68" applyNumberFormat="1" applyFont="1" applyFill="1" applyBorder="1" applyAlignment="1">
      <alignment horizontal="left" vertical="center"/>
      <protection/>
    </xf>
    <xf numFmtId="191" fontId="0" fillId="0" borderId="46" xfId="68" applyNumberFormat="1" applyFont="1" applyBorder="1" applyAlignment="1">
      <alignment horizontal="center" vertical="center"/>
      <protection/>
    </xf>
    <xf numFmtId="191" fontId="0" fillId="0" borderId="36" xfId="68" applyNumberFormat="1" applyFont="1" applyBorder="1" applyAlignment="1">
      <alignment horizontal="center" vertical="center"/>
      <protection/>
    </xf>
    <xf numFmtId="191" fontId="0" fillId="0" borderId="75" xfId="68" applyNumberFormat="1" applyFont="1" applyBorder="1" applyAlignment="1">
      <alignment horizontal="center" vertical="center"/>
      <protection/>
    </xf>
    <xf numFmtId="191" fontId="0" fillId="0" borderId="15" xfId="68" applyNumberFormat="1" applyFont="1" applyBorder="1" applyAlignment="1">
      <alignment horizontal="center" vertical="center"/>
      <protection/>
    </xf>
    <xf numFmtId="191" fontId="0" fillId="0" borderId="19" xfId="68" applyNumberFormat="1" applyFont="1" applyBorder="1" applyAlignment="1">
      <alignment horizontal="center" vertical="center"/>
      <protection/>
    </xf>
    <xf numFmtId="191" fontId="0" fillId="34" borderId="87" xfId="68" applyNumberFormat="1" applyFont="1" applyFill="1" applyBorder="1" applyAlignment="1">
      <alignment horizontal="left" vertical="center" wrapText="1"/>
      <protection/>
    </xf>
    <xf numFmtId="191" fontId="0" fillId="34" borderId="43" xfId="68" applyNumberFormat="1" applyFont="1" applyFill="1" applyBorder="1" applyAlignment="1">
      <alignment horizontal="left" vertical="center" wrapText="1"/>
      <protection/>
    </xf>
    <xf numFmtId="191" fontId="0" fillId="34" borderId="88" xfId="68" applyNumberFormat="1" applyFont="1" applyFill="1" applyBorder="1" applyAlignment="1">
      <alignment horizontal="left" vertical="center" wrapText="1"/>
      <protection/>
    </xf>
    <xf numFmtId="191" fontId="0" fillId="0" borderId="24" xfId="68" applyNumberFormat="1" applyFont="1" applyBorder="1" applyAlignment="1">
      <alignment horizontal="center" vertical="center"/>
      <protection/>
    </xf>
    <xf numFmtId="191" fontId="0" fillId="0" borderId="19" xfId="68" applyNumberFormat="1" applyFont="1" applyBorder="1" applyAlignment="1">
      <alignment vertical="center" wrapText="1"/>
      <protection/>
    </xf>
    <xf numFmtId="191" fontId="0" fillId="0" borderId="22" xfId="68" applyNumberFormat="1" applyFont="1" applyBorder="1" applyAlignment="1">
      <alignment vertical="center" wrapText="1"/>
      <protection/>
    </xf>
    <xf numFmtId="191" fontId="0" fillId="35" borderId="33" xfId="68" applyNumberFormat="1" applyFont="1" applyFill="1" applyBorder="1" applyAlignment="1">
      <alignment horizontal="left" vertical="center" wrapText="1"/>
      <protection/>
    </xf>
    <xf numFmtId="191" fontId="0" fillId="35" borderId="79" xfId="68" applyNumberFormat="1" applyFont="1" applyFill="1" applyBorder="1" applyAlignment="1">
      <alignment horizontal="left" vertical="center" wrapText="1"/>
      <protection/>
    </xf>
    <xf numFmtId="191" fontId="0" fillId="0" borderId="24" xfId="68" applyNumberFormat="1" applyFont="1" applyBorder="1" applyAlignment="1">
      <alignment vertical="center" wrapText="1"/>
      <protection/>
    </xf>
    <xf numFmtId="191" fontId="78" fillId="0" borderId="0" xfId="68" applyNumberFormat="1" applyFont="1" applyAlignment="1">
      <alignment horizontal="center" vertical="center"/>
      <protection/>
    </xf>
    <xf numFmtId="191" fontId="0" fillId="0" borderId="41" xfId="68" applyNumberFormat="1" applyFont="1" applyBorder="1" applyAlignment="1">
      <alignment horizontal="center" vertical="center"/>
      <protection/>
    </xf>
    <xf numFmtId="191" fontId="0" fillId="0" borderId="50" xfId="68" applyNumberFormat="1" applyFont="1" applyBorder="1" applyAlignment="1">
      <alignment horizontal="center" vertical="center"/>
      <protection/>
    </xf>
    <xf numFmtId="191" fontId="0" fillId="0" borderId="11" xfId="68" applyNumberFormat="1" applyFont="1" applyBorder="1" applyAlignment="1">
      <alignment horizontal="center" vertical="center"/>
      <protection/>
    </xf>
    <xf numFmtId="191" fontId="0" fillId="0" borderId="89" xfId="68" applyNumberFormat="1" applyFont="1" applyBorder="1" applyAlignment="1">
      <alignment horizontal="center" vertical="center"/>
      <protection/>
    </xf>
    <xf numFmtId="191" fontId="0" fillId="0" borderId="41" xfId="68" applyNumberFormat="1" applyFont="1" applyBorder="1" applyAlignment="1">
      <alignment horizontal="center" vertical="center" wrapText="1"/>
      <protection/>
    </xf>
    <xf numFmtId="191" fontId="0" fillId="0" borderId="11" xfId="68" applyNumberFormat="1" applyFont="1" applyBorder="1" applyAlignment="1">
      <alignment horizontal="center" vertical="center" wrapText="1"/>
      <protection/>
    </xf>
    <xf numFmtId="191" fontId="0" fillId="0" borderId="41" xfId="68" applyNumberFormat="1" applyFont="1" applyBorder="1" applyAlignment="1">
      <alignment horizontal="center" vertical="center"/>
      <protection/>
    </xf>
    <xf numFmtId="191" fontId="0" fillId="0" borderId="41" xfId="68" applyNumberFormat="1" applyFont="1" applyBorder="1" applyAlignment="1">
      <alignment horizontal="center" vertical="center" wrapText="1"/>
      <protection/>
    </xf>
    <xf numFmtId="191" fontId="0" fillId="0" borderId="87" xfId="68" applyNumberFormat="1" applyFont="1" applyBorder="1" applyAlignment="1">
      <alignment horizontal="center" vertical="center"/>
      <protection/>
    </xf>
    <xf numFmtId="191" fontId="0" fillId="0" borderId="43" xfId="68" applyNumberFormat="1" applyFont="1" applyBorder="1" applyAlignment="1">
      <alignment horizontal="center" vertical="center"/>
      <protection/>
    </xf>
    <xf numFmtId="191" fontId="0" fillId="0" borderId="88" xfId="68" applyNumberFormat="1" applyFont="1" applyBorder="1" applyAlignment="1">
      <alignment horizontal="center" vertical="center"/>
      <protection/>
    </xf>
    <xf numFmtId="191" fontId="0" fillId="0" borderId="13" xfId="68" applyNumberFormat="1" applyFont="1" applyBorder="1" applyAlignment="1">
      <alignment horizontal="center" vertical="center"/>
      <protection/>
    </xf>
    <xf numFmtId="191" fontId="0" fillId="35" borderId="13" xfId="68" applyNumberFormat="1" applyFont="1" applyFill="1" applyBorder="1" applyAlignment="1">
      <alignment horizontal="left" vertical="center"/>
      <protection/>
    </xf>
    <xf numFmtId="191" fontId="0" fillId="0" borderId="13" xfId="68" applyNumberFormat="1" applyFont="1" applyFill="1" applyBorder="1" applyAlignment="1">
      <alignment horizontal="center" vertical="center"/>
      <protection/>
    </xf>
    <xf numFmtId="191" fontId="0" fillId="35" borderId="34" xfId="68" applyNumberFormat="1" applyFont="1" applyFill="1" applyBorder="1" applyAlignment="1">
      <alignment horizontal="left" vertical="center"/>
      <protection/>
    </xf>
    <xf numFmtId="191" fontId="7" fillId="0" borderId="13" xfId="68" applyNumberFormat="1" applyFont="1" applyFill="1" applyBorder="1" applyAlignment="1">
      <alignment horizontal="center" vertical="center"/>
      <protection/>
    </xf>
    <xf numFmtId="191" fontId="0" fillId="35" borderId="42" xfId="68" applyNumberFormat="1" applyFont="1" applyFill="1" applyBorder="1" applyAlignment="1">
      <alignment horizontal="left" vertical="center"/>
      <protection/>
    </xf>
    <xf numFmtId="191" fontId="0" fillId="35" borderId="43" xfId="68" applyNumberFormat="1" applyFont="1" applyFill="1" applyBorder="1" applyAlignment="1">
      <alignment horizontal="left" vertical="center"/>
      <protection/>
    </xf>
    <xf numFmtId="191" fontId="0" fillId="34" borderId="86" xfId="68" applyNumberFormat="1" applyFont="1" applyFill="1" applyBorder="1" applyAlignment="1">
      <alignment horizontal="left" vertical="center"/>
      <protection/>
    </xf>
    <xf numFmtId="191" fontId="0" fillId="34" borderId="48" xfId="68" applyNumberFormat="1" applyFont="1" applyFill="1" applyBorder="1" applyAlignment="1">
      <alignment horizontal="left" vertical="center"/>
      <protection/>
    </xf>
    <xf numFmtId="191" fontId="0" fillId="0" borderId="78" xfId="68" applyNumberFormat="1" applyFont="1" applyBorder="1" applyAlignment="1">
      <alignment horizontal="center" vertical="center" shrinkToFit="1"/>
      <protection/>
    </xf>
    <xf numFmtId="191" fontId="0" fillId="0" borderId="13" xfId="68" applyNumberFormat="1" applyFont="1" applyBorder="1" applyAlignment="1">
      <alignment horizontal="center" vertical="center" shrinkToFit="1"/>
      <protection/>
    </xf>
    <xf numFmtId="191" fontId="0" fillId="0" borderId="73" xfId="68" applyNumberFormat="1" applyFont="1" applyBorder="1" applyAlignment="1">
      <alignment horizontal="center" vertical="center"/>
      <protection/>
    </xf>
    <xf numFmtId="191" fontId="0" fillId="0" borderId="74" xfId="68" applyNumberFormat="1" applyFont="1" applyBorder="1" applyAlignment="1">
      <alignment horizontal="center" vertical="center"/>
      <protection/>
    </xf>
    <xf numFmtId="191" fontId="0" fillId="0" borderId="76" xfId="68" applyNumberFormat="1" applyFont="1" applyBorder="1" applyAlignment="1">
      <alignment horizontal="center" vertical="center"/>
      <protection/>
    </xf>
    <xf numFmtId="191" fontId="0" fillId="0" borderId="77" xfId="68" applyNumberFormat="1" applyFont="1" applyBorder="1" applyAlignment="1">
      <alignment horizontal="center" vertical="center"/>
      <protection/>
    </xf>
    <xf numFmtId="191" fontId="0" fillId="34" borderId="48" xfId="68" applyNumberFormat="1" applyFont="1" applyFill="1" applyBorder="1" applyAlignment="1">
      <alignment vertical="center"/>
      <protection/>
    </xf>
    <xf numFmtId="191" fontId="0" fillId="34" borderId="49" xfId="68" applyNumberFormat="1" applyFont="1" applyFill="1" applyBorder="1" applyAlignment="1">
      <alignment vertical="center"/>
      <protection/>
    </xf>
    <xf numFmtId="191" fontId="0" fillId="35" borderId="23" xfId="68" applyNumberFormat="1" applyFont="1" applyFill="1" applyBorder="1" applyAlignment="1">
      <alignment vertical="center"/>
      <protection/>
    </xf>
    <xf numFmtId="191" fontId="0" fillId="35" borderId="0" xfId="68" applyNumberFormat="1" applyFont="1" applyFill="1" applyBorder="1" applyAlignment="1">
      <alignment vertical="center"/>
      <protection/>
    </xf>
    <xf numFmtId="191" fontId="0" fillId="35" borderId="21" xfId="68" applyNumberFormat="1" applyFont="1" applyFill="1" applyBorder="1" applyAlignment="1">
      <alignment vertical="center"/>
      <protection/>
    </xf>
    <xf numFmtId="191" fontId="0" fillId="0" borderId="55" xfId="68" applyNumberFormat="1" applyFont="1" applyBorder="1" applyAlignment="1">
      <alignment horizontal="center" vertical="center"/>
      <protection/>
    </xf>
    <xf numFmtId="191" fontId="0" fillId="0" borderId="10" xfId="68" applyNumberFormat="1" applyFont="1" applyBorder="1" applyAlignment="1">
      <alignment horizontal="center" vertical="center"/>
      <protection/>
    </xf>
    <xf numFmtId="191" fontId="7" fillId="36" borderId="49" xfId="68" applyNumberFormat="1" applyFont="1" applyFill="1" applyBorder="1" applyAlignment="1">
      <alignment horizontal="center" vertical="center"/>
      <protection/>
    </xf>
    <xf numFmtId="191" fontId="0" fillId="34" borderId="86" xfId="68" applyNumberFormat="1" applyFont="1" applyFill="1" applyBorder="1" applyAlignment="1">
      <alignment horizontal="left" vertical="center"/>
      <protection/>
    </xf>
    <xf numFmtId="191" fontId="0" fillId="34" borderId="86" xfId="68" applyNumberFormat="1" applyFont="1" applyFill="1" applyBorder="1" applyAlignment="1">
      <alignment horizontal="left" vertical="center" wrapText="1"/>
      <protection/>
    </xf>
    <xf numFmtId="191" fontId="0" fillId="34" borderId="48" xfId="68" applyNumberFormat="1" applyFont="1" applyFill="1" applyBorder="1" applyAlignment="1">
      <alignment horizontal="left" vertical="center" wrapText="1"/>
      <protection/>
    </xf>
    <xf numFmtId="191" fontId="0" fillId="35" borderId="25" xfId="68" applyNumberFormat="1" applyFont="1" applyFill="1" applyBorder="1" applyAlignment="1">
      <alignment horizontal="left" vertical="center" wrapText="1"/>
      <protection/>
    </xf>
    <xf numFmtId="191" fontId="0" fillId="35" borderId="23" xfId="68" applyNumberFormat="1" applyFont="1" applyFill="1" applyBorder="1" applyAlignment="1">
      <alignment horizontal="left" vertical="center" wrapText="1"/>
      <protection/>
    </xf>
    <xf numFmtId="191" fontId="0" fillId="0" borderId="50" xfId="68" applyNumberFormat="1" applyFont="1" applyBorder="1" applyAlignment="1">
      <alignment horizontal="center" vertical="center" wrapText="1"/>
      <protection/>
    </xf>
    <xf numFmtId="191" fontId="0" fillId="0" borderId="89" xfId="68" applyNumberFormat="1" applyFont="1" applyBorder="1" applyAlignment="1">
      <alignment horizontal="center" vertical="center" wrapText="1"/>
      <protection/>
    </xf>
    <xf numFmtId="191" fontId="2" fillId="0" borderId="86" xfId="68" applyNumberFormat="1" applyFont="1" applyBorder="1" applyAlignment="1">
      <alignment vertical="center"/>
      <protection/>
    </xf>
    <xf numFmtId="191" fontId="2" fillId="0" borderId="49" xfId="68" applyNumberFormat="1" applyFont="1" applyBorder="1" applyAlignment="1">
      <alignment vertical="center"/>
      <protection/>
    </xf>
    <xf numFmtId="191" fontId="2" fillId="0" borderId="60" xfId="68" applyNumberFormat="1" applyFont="1" applyBorder="1" applyAlignment="1">
      <alignment vertical="center"/>
      <protection/>
    </xf>
    <xf numFmtId="191" fontId="2" fillId="0" borderId="80" xfId="68" applyNumberFormat="1" applyFont="1" applyBorder="1" applyAlignment="1">
      <alignment vertical="center"/>
      <protection/>
    </xf>
    <xf numFmtId="191" fontId="78" fillId="0" borderId="90" xfId="68" applyNumberFormat="1" applyFont="1" applyBorder="1" applyAlignment="1">
      <alignment horizontal="center" vertical="top"/>
      <protection/>
    </xf>
    <xf numFmtId="191" fontId="78" fillId="0" borderId="91" xfId="68" applyNumberFormat="1" applyFont="1" applyBorder="1" applyAlignment="1">
      <alignment horizontal="center" vertical="top"/>
      <protection/>
    </xf>
    <xf numFmtId="191" fontId="78" fillId="0" borderId="92" xfId="68" applyNumberFormat="1" applyFont="1" applyBorder="1" applyAlignment="1">
      <alignment horizontal="center" vertical="top"/>
      <protection/>
    </xf>
    <xf numFmtId="191" fontId="2" fillId="0" borderId="62" xfId="68" applyNumberFormat="1" applyFont="1" applyBorder="1" applyAlignment="1">
      <alignment horizontal="center" vertical="center"/>
      <protection/>
    </xf>
    <xf numFmtId="191" fontId="0" fillId="0" borderId="15" xfId="68" applyNumberFormat="1" applyFont="1" applyBorder="1" applyAlignment="1">
      <alignment vertical="center" wrapText="1"/>
      <protection/>
    </xf>
    <xf numFmtId="191" fontId="0" fillId="0" borderId="16" xfId="68" applyNumberFormat="1" applyFont="1" applyBorder="1" applyAlignment="1">
      <alignment vertical="center"/>
      <protection/>
    </xf>
    <xf numFmtId="191" fontId="0" fillId="0" borderId="19" xfId="68" applyNumberFormat="1" applyFont="1" applyBorder="1" applyAlignment="1">
      <alignment vertical="center" wrapText="1"/>
      <protection/>
    </xf>
    <xf numFmtId="191" fontId="0" fillId="0" borderId="93" xfId="68" applyNumberFormat="1" applyFont="1" applyBorder="1" applyAlignment="1">
      <alignment horizontal="center"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urrency1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백분율 2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임직원" xfId="63"/>
    <cellStyle name="콤마_임직원" xfId="64"/>
    <cellStyle name="Currency" xfId="65"/>
    <cellStyle name="Currency [0]" xfId="66"/>
    <cellStyle name="표준 2" xfId="67"/>
    <cellStyle name="표준_2001년예산_여천고" xfId="68"/>
    <cellStyle name="표준_진상회계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20</xdr:row>
      <xdr:rowOff>219075</xdr:rowOff>
    </xdr:from>
    <xdr:to>
      <xdr:col>6</xdr:col>
      <xdr:colOff>419100</xdr:colOff>
      <xdr:row>22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104900" y="6143625"/>
          <a:ext cx="388620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"/>
              <a:ea typeface="바탕"/>
              <a:cs typeface="바탕"/>
            </a:rPr>
            <a:t/>
          </a:r>
        </a:p>
      </xdr:txBody>
    </xdr:sp>
    <xdr:clientData/>
  </xdr:twoCellAnchor>
  <xdr:twoCellAnchor>
    <xdr:from>
      <xdr:col>0</xdr:col>
      <xdr:colOff>285750</xdr:colOff>
      <xdr:row>6</xdr:row>
      <xdr:rowOff>85725</xdr:rowOff>
    </xdr:from>
    <xdr:to>
      <xdr:col>7</xdr:col>
      <xdr:colOff>438150</xdr:colOff>
      <xdr:row>8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285750" y="1428750"/>
          <a:ext cx="548640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"/>
              <a:ea typeface="바탕"/>
              <a:cs typeface="바탕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123825</xdr:rowOff>
    </xdr:from>
    <xdr:to>
      <xdr:col>4</xdr:col>
      <xdr:colOff>342900</xdr:colOff>
      <xdr:row>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304925" y="590550"/>
          <a:ext cx="18097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"/>
              <a:ea typeface="바탕"/>
              <a:cs typeface="바탕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C\LOCALS~1\Temp\Handy\&#46160;&#47336;&#48120;\&#47928;&#49436;\&#54617;&#44368;&#54924;&#44228;\&#44553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칙"/>
      <sheetName val="총괄표"/>
      <sheetName val="관별"/>
      <sheetName val="세입"/>
      <sheetName val="세출"/>
      <sheetName val="성질"/>
      <sheetName val="조정우선순위_삭감"/>
      <sheetName val="가용재원"/>
      <sheetName val="가용재원 (2)"/>
      <sheetName val="배분액표"/>
      <sheetName val="기본운영비"/>
      <sheetName val="시설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4"/>
  <sheetViews>
    <sheetView zoomScaleSheetLayoutView="100" zoomScalePageLayoutView="0" workbookViewId="0" topLeftCell="A16">
      <selection activeCell="A9" sqref="A9"/>
    </sheetView>
  </sheetViews>
  <sheetFormatPr defaultColWidth="11.421875" defaultRowHeight="12"/>
  <cols>
    <col min="1" max="16384" width="11.421875" style="71" customWidth="1"/>
  </cols>
  <sheetData>
    <row r="1" ht="16.5" customHeight="1"/>
    <row r="2" ht="16.5" customHeight="1"/>
    <row r="3" ht="15.75" customHeight="1"/>
    <row r="4" spans="1:2" s="216" customFormat="1" ht="24" customHeight="1">
      <c r="A4" s="214" t="s">
        <v>480</v>
      </c>
      <c r="B4" s="215"/>
    </row>
    <row r="5" spans="1:2" s="216" customFormat="1" ht="16.5" customHeight="1">
      <c r="A5" s="217"/>
      <c r="B5" s="217"/>
    </row>
    <row r="6" s="216" customFormat="1" ht="16.5" customHeight="1"/>
    <row r="7" s="216" customFormat="1" ht="16.5"/>
    <row r="8" spans="1:8" s="216" customFormat="1" ht="46.5" customHeight="1">
      <c r="A8" s="218" t="s">
        <v>481</v>
      </c>
      <c r="B8" s="218"/>
      <c r="C8" s="218"/>
      <c r="D8" s="218"/>
      <c r="E8" s="218"/>
      <c r="F8" s="218"/>
      <c r="G8" s="218"/>
      <c r="H8" s="218"/>
    </row>
    <row r="9" spans="1:8" s="216" customFormat="1" ht="31.5">
      <c r="A9" s="218"/>
      <c r="B9" s="218"/>
      <c r="C9" s="218"/>
      <c r="D9" s="218"/>
      <c r="E9" s="218"/>
      <c r="F9" s="218"/>
      <c r="G9" s="218"/>
      <c r="H9" s="218"/>
    </row>
    <row r="10" spans="1:8" s="216" customFormat="1" ht="31.5">
      <c r="A10" s="218"/>
      <c r="B10" s="218"/>
      <c r="C10" s="218"/>
      <c r="D10" s="218"/>
      <c r="E10" s="218"/>
      <c r="F10" s="218"/>
      <c r="G10" s="218"/>
      <c r="H10" s="218"/>
    </row>
    <row r="11" spans="1:8" ht="25.5">
      <c r="A11" s="72"/>
      <c r="B11" s="72"/>
      <c r="C11" s="72"/>
      <c r="D11" s="72"/>
      <c r="E11" s="72"/>
      <c r="F11" s="72"/>
      <c r="G11" s="72"/>
      <c r="H11" s="72"/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spans="1:7" s="216" customFormat="1" ht="66" customHeight="1">
      <c r="A22" s="221" t="s">
        <v>271</v>
      </c>
      <c r="B22" s="218"/>
      <c r="C22" s="218"/>
      <c r="D22" s="218"/>
      <c r="E22" s="218"/>
      <c r="F22" s="218"/>
      <c r="G22" s="218"/>
    </row>
    <row r="23" spans="1:7" ht="23.25" customHeight="1">
      <c r="A23" s="72"/>
      <c r="B23" s="72"/>
      <c r="C23" s="72"/>
      <c r="D23" s="72"/>
      <c r="E23" s="72"/>
      <c r="F23" s="72"/>
      <c r="G23" s="72"/>
    </row>
    <row r="24" spans="1:7" ht="23.25" customHeight="1">
      <c r="A24" s="73"/>
      <c r="B24" s="73"/>
      <c r="C24" s="73"/>
      <c r="D24" s="73"/>
      <c r="E24" s="73"/>
      <c r="F24" s="73"/>
      <c r="G24" s="73"/>
    </row>
  </sheetData>
  <sheetProtection/>
  <printOptions horizontalCentered="1"/>
  <pageMargins left="0.4330708661417323" right="0.2362204724409449" top="1.2992125984251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"/>
  <sheetViews>
    <sheetView zoomScaleSheetLayoutView="100" zoomScalePageLayoutView="0" workbookViewId="0" topLeftCell="A1">
      <selection activeCell="B9" sqref="B9"/>
    </sheetView>
  </sheetViews>
  <sheetFormatPr defaultColWidth="11.421875" defaultRowHeight="12"/>
  <cols>
    <col min="1" max="1" width="2.00390625" style="71" customWidth="1"/>
    <col min="2" max="3" width="11.421875" style="71" customWidth="1"/>
    <col min="4" max="4" width="16.7109375" style="71" customWidth="1"/>
    <col min="5" max="6" width="11.421875" style="71" customWidth="1"/>
    <col min="7" max="7" width="15.140625" style="71" customWidth="1"/>
    <col min="8" max="8" width="12.140625" style="71" customWidth="1"/>
    <col min="9" max="16384" width="11.421875" style="71" customWidth="1"/>
  </cols>
  <sheetData>
    <row r="2" spans="3:6" s="216" customFormat="1" ht="23.25" customHeight="1">
      <c r="C2" s="219" t="s">
        <v>124</v>
      </c>
      <c r="D2" s="219" t="s">
        <v>124</v>
      </c>
      <c r="E2" s="216" t="s">
        <v>273</v>
      </c>
      <c r="F2" s="219"/>
    </row>
    <row r="3" spans="3:6" ht="23.25" customHeight="1">
      <c r="C3" s="74"/>
      <c r="D3" s="74"/>
      <c r="E3" s="74"/>
      <c r="F3" s="74"/>
    </row>
    <row r="4" spans="4:5" ht="36.75" customHeight="1">
      <c r="D4" s="219" t="s">
        <v>272</v>
      </c>
      <c r="E4" s="219" t="s">
        <v>124</v>
      </c>
    </row>
    <row r="5" ht="34.5" customHeight="1"/>
    <row r="6" ht="37.5" customHeight="1"/>
    <row r="7" s="222" customFormat="1" ht="33.75" customHeight="1">
      <c r="B7" s="223" t="s">
        <v>276</v>
      </c>
    </row>
    <row r="8" s="222" customFormat="1" ht="33.75" customHeight="1">
      <c r="B8" s="223" t="s">
        <v>482</v>
      </c>
    </row>
    <row r="9" s="222" customFormat="1" ht="33.75" customHeight="1">
      <c r="B9" s="223" t="s">
        <v>274</v>
      </c>
    </row>
    <row r="10" s="222" customFormat="1" ht="33.75" customHeight="1">
      <c r="B10" s="223" t="s">
        <v>275</v>
      </c>
    </row>
    <row r="11" spans="1:10" s="75" customFormat="1" ht="19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</row>
    <row r="12" spans="1:10" s="75" customFormat="1" ht="19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</row>
    <row r="13" spans="1:10" s="75" customFormat="1" ht="19.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s="75" customFormat="1" ht="19.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0" s="75" customFormat="1" ht="24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spans="1:10" s="75" customFormat="1" ht="24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 s="75" customFormat="1" ht="24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</row>
    <row r="18" spans="1:10" s="75" customFormat="1" ht="13.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s="75" customFormat="1" ht="19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0" s="75" customFormat="1" ht="21.7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</row>
    <row r="21" spans="1:10" s="75" customFormat="1" ht="21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</row>
    <row r="22" spans="1:10" s="75" customFormat="1" ht="12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s="75" customFormat="1" ht="27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</row>
    <row r="24" spans="1:10" s="75" customFormat="1" ht="27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s="75" customFormat="1" ht="27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spans="1:10" s="75" customFormat="1" ht="27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</row>
    <row r="27" spans="1:10" s="75" customFormat="1" ht="27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0" s="75" customFormat="1" ht="27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</row>
    <row r="29" s="75" customFormat="1" ht="27" customHeight="1"/>
  </sheetData>
  <sheetProtection/>
  <printOptions horizontalCentered="1"/>
  <pageMargins left="0.7874015748031497" right="0.7480314960629921" top="1.220472440944882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3">
      <selection activeCell="A13" sqref="A13"/>
    </sheetView>
  </sheetViews>
  <sheetFormatPr defaultColWidth="11.421875" defaultRowHeight="12"/>
  <cols>
    <col min="1" max="16384" width="11.421875" style="71" customWidth="1"/>
  </cols>
  <sheetData>
    <row r="1" spans="1:7" ht="16.5" customHeight="1">
      <c r="A1" s="224"/>
      <c r="B1" s="224"/>
      <c r="C1" s="224"/>
      <c r="D1" s="224"/>
      <c r="E1" s="224"/>
      <c r="F1" s="224"/>
      <c r="G1" s="224"/>
    </row>
    <row r="2" spans="1:7" ht="16.5" customHeight="1">
      <c r="A2" s="224"/>
      <c r="B2" s="224"/>
      <c r="C2" s="224"/>
      <c r="D2" s="224"/>
      <c r="E2" s="224"/>
      <c r="F2" s="224"/>
      <c r="G2" s="224"/>
    </row>
    <row r="3" spans="1:2" s="216" customFormat="1" ht="24" customHeight="1">
      <c r="A3" s="214" t="s">
        <v>483</v>
      </c>
      <c r="B3" s="215"/>
    </row>
    <row r="4" spans="1:8" ht="46.5" customHeight="1">
      <c r="A4" s="315" t="s">
        <v>484</v>
      </c>
      <c r="B4" s="315"/>
      <c r="C4" s="315"/>
      <c r="D4" s="315"/>
      <c r="E4" s="315"/>
      <c r="F4" s="315"/>
      <c r="G4" s="315"/>
      <c r="H4" s="72"/>
    </row>
    <row r="5" spans="1:8" ht="31.5">
      <c r="A5" s="225"/>
      <c r="B5" s="225"/>
      <c r="C5" s="225"/>
      <c r="D5" s="225"/>
      <c r="E5" s="225"/>
      <c r="F5" s="225"/>
      <c r="G5" s="225"/>
      <c r="H5" s="72"/>
    </row>
    <row r="6" spans="1:8" ht="31.5">
      <c r="A6" s="225"/>
      <c r="B6" s="225"/>
      <c r="C6" s="225"/>
      <c r="D6" s="225"/>
      <c r="E6" s="225"/>
      <c r="F6" s="225"/>
      <c r="G6" s="225"/>
      <c r="H6" s="72"/>
    </row>
    <row r="7" spans="1:7" ht="35.25" customHeight="1">
      <c r="A7" s="224"/>
      <c r="B7" s="224"/>
      <c r="C7" s="224"/>
      <c r="D7" s="224"/>
      <c r="E7" s="224"/>
      <c r="F7" s="224"/>
      <c r="G7" s="224"/>
    </row>
    <row r="8" spans="1:7" ht="36.75" customHeight="1">
      <c r="A8" s="317" t="s">
        <v>278</v>
      </c>
      <c r="B8" s="317"/>
      <c r="C8" s="317"/>
      <c r="D8" s="317"/>
      <c r="E8" s="317"/>
      <c r="F8" s="317"/>
      <c r="G8" s="317"/>
    </row>
    <row r="9" spans="1:7" ht="36.75" customHeight="1">
      <c r="A9" s="317" t="s">
        <v>485</v>
      </c>
      <c r="B9" s="317"/>
      <c r="C9" s="317"/>
      <c r="D9" s="317"/>
      <c r="E9" s="317"/>
      <c r="F9" s="317"/>
      <c r="G9" s="317"/>
    </row>
    <row r="10" spans="1:7" ht="23.25" customHeight="1">
      <c r="A10" s="224"/>
      <c r="B10" s="224"/>
      <c r="C10" s="226"/>
      <c r="D10" s="226"/>
      <c r="E10" s="226"/>
      <c r="F10" s="226"/>
      <c r="G10" s="226"/>
    </row>
    <row r="11" spans="1:7" ht="36.75" customHeight="1">
      <c r="A11" s="317" t="s">
        <v>279</v>
      </c>
      <c r="B11" s="317"/>
      <c r="C11" s="317"/>
      <c r="D11" s="317"/>
      <c r="E11" s="317"/>
      <c r="F11" s="317"/>
      <c r="G11" s="317"/>
    </row>
    <row r="12" spans="1:7" ht="36.75" customHeight="1">
      <c r="A12" s="317" t="s">
        <v>486</v>
      </c>
      <c r="B12" s="317"/>
      <c r="C12" s="317"/>
      <c r="D12" s="317"/>
      <c r="E12" s="317"/>
      <c r="F12" s="317"/>
      <c r="G12" s="317"/>
    </row>
    <row r="13" spans="1:7" ht="23.25" customHeight="1">
      <c r="A13" s="224"/>
      <c r="B13" s="224"/>
      <c r="C13" s="224"/>
      <c r="D13" s="224"/>
      <c r="E13" s="224"/>
      <c r="F13" s="224"/>
      <c r="G13" s="224"/>
    </row>
    <row r="14" spans="1:7" ht="23.25" customHeight="1">
      <c r="A14" s="224"/>
      <c r="B14" s="224"/>
      <c r="C14" s="224"/>
      <c r="D14" s="224"/>
      <c r="E14" s="224"/>
      <c r="F14" s="224"/>
      <c r="G14" s="224"/>
    </row>
    <row r="15" spans="1:7" ht="23.25" customHeight="1">
      <c r="A15" s="224"/>
      <c r="B15" s="224"/>
      <c r="C15" s="224"/>
      <c r="D15" s="224"/>
      <c r="E15" s="224"/>
      <c r="F15" s="224"/>
      <c r="G15" s="224"/>
    </row>
    <row r="16" spans="1:7" ht="23.25" customHeight="1">
      <c r="A16" s="224"/>
      <c r="B16" s="224"/>
      <c r="C16" s="224"/>
      <c r="D16" s="224"/>
      <c r="E16" s="224"/>
      <c r="F16" s="224"/>
      <c r="G16" s="224"/>
    </row>
    <row r="17" spans="1:7" ht="23.25" customHeight="1">
      <c r="A17" s="224"/>
      <c r="B17" s="224"/>
      <c r="C17" s="224"/>
      <c r="D17" s="224"/>
      <c r="E17" s="224"/>
      <c r="F17" s="224"/>
      <c r="G17" s="224"/>
    </row>
    <row r="18" spans="1:7" ht="23.25" customHeight="1">
      <c r="A18" s="224"/>
      <c r="B18" s="224"/>
      <c r="C18" s="224"/>
      <c r="D18" s="224"/>
      <c r="E18" s="224"/>
      <c r="F18" s="224"/>
      <c r="G18" s="224"/>
    </row>
    <row r="19" spans="1:7" ht="23.25" customHeight="1">
      <c r="A19" s="316" t="s">
        <v>277</v>
      </c>
      <c r="B19" s="316"/>
      <c r="C19" s="316"/>
      <c r="D19" s="316"/>
      <c r="E19" s="316"/>
      <c r="F19" s="316"/>
      <c r="G19" s="316"/>
    </row>
    <row r="20" spans="1:7" ht="23.25" customHeight="1">
      <c r="A20" s="224"/>
      <c r="B20" s="224"/>
      <c r="C20" s="224"/>
      <c r="D20" s="224"/>
      <c r="E20" s="224"/>
      <c r="F20" s="224"/>
      <c r="G20" s="224"/>
    </row>
    <row r="21" spans="1:7" ht="23.25" customHeight="1">
      <c r="A21" s="224"/>
      <c r="B21" s="224"/>
      <c r="C21" s="224"/>
      <c r="D21" s="224"/>
      <c r="E21" s="224"/>
      <c r="F21" s="224"/>
      <c r="G21" s="224"/>
    </row>
    <row r="22" spans="1:7" ht="23.25" customHeight="1">
      <c r="A22" s="225"/>
      <c r="B22" s="225"/>
      <c r="C22" s="225"/>
      <c r="D22" s="224"/>
      <c r="E22" s="224"/>
      <c r="F22" s="224"/>
      <c r="G22" s="224"/>
    </row>
    <row r="23" spans="1:7" ht="23.25" customHeight="1">
      <c r="A23" s="227"/>
      <c r="B23" s="227"/>
      <c r="C23" s="227"/>
      <c r="D23" s="227"/>
      <c r="E23" s="227"/>
      <c r="F23" s="227"/>
      <c r="G23" s="227"/>
    </row>
  </sheetData>
  <sheetProtection/>
  <mergeCells count="6">
    <mergeCell ref="A4:G4"/>
    <mergeCell ref="A19:G19"/>
    <mergeCell ref="A9:G9"/>
    <mergeCell ref="A8:G8"/>
    <mergeCell ref="A11:G11"/>
    <mergeCell ref="A12:G12"/>
  </mergeCells>
  <printOptions horizontalCentered="1"/>
  <pageMargins left="0.5905511811023623" right="0.7480314960629921" top="1.2992125984251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6">
      <selection activeCell="C26" sqref="C26"/>
    </sheetView>
  </sheetViews>
  <sheetFormatPr defaultColWidth="11.421875" defaultRowHeight="12"/>
  <cols>
    <col min="1" max="3" width="11.421875" style="71" customWidth="1"/>
    <col min="4" max="4" width="12.57421875" style="71" customWidth="1"/>
    <col min="5" max="5" width="18.57421875" style="71" customWidth="1"/>
    <col min="6" max="8" width="12.140625" style="71" customWidth="1"/>
    <col min="9" max="16384" width="11.421875" style="71" customWidth="1"/>
  </cols>
  <sheetData>
    <row r="1" spans="1:7" ht="23.25" customHeight="1">
      <c r="A1" s="321" t="s">
        <v>390</v>
      </c>
      <c r="B1" s="321"/>
      <c r="C1" s="321"/>
      <c r="D1" s="321"/>
      <c r="E1" s="321"/>
      <c r="F1" s="321"/>
      <c r="G1" s="321"/>
    </row>
    <row r="2" spans="3:6" ht="23.25" customHeight="1">
      <c r="C2" s="74"/>
      <c r="D2" s="74"/>
      <c r="E2" s="74"/>
      <c r="F2" s="74"/>
    </row>
    <row r="3" spans="1:7" s="303" customFormat="1" ht="23.25" customHeight="1">
      <c r="A3" s="322" t="s">
        <v>396</v>
      </c>
      <c r="B3" s="322"/>
      <c r="C3" s="322"/>
      <c r="D3" s="322"/>
      <c r="E3" s="322"/>
      <c r="F3" s="322"/>
      <c r="G3" s="322"/>
    </row>
    <row r="4" ht="19.5" customHeight="1"/>
    <row r="5" s="286" customFormat="1" ht="25.5" customHeight="1">
      <c r="A5" s="286" t="s">
        <v>487</v>
      </c>
    </row>
    <row r="6" spans="1:7" s="228" customFormat="1" ht="24.75" customHeight="1">
      <c r="A6" s="318" t="s">
        <v>380</v>
      </c>
      <c r="B6" s="318"/>
      <c r="C6" s="319" t="s">
        <v>488</v>
      </c>
      <c r="D6" s="319"/>
      <c r="E6" s="302" t="s">
        <v>381</v>
      </c>
      <c r="F6" s="320">
        <v>1803241120</v>
      </c>
      <c r="G6" s="320"/>
    </row>
    <row r="7" s="228" customFormat="1" ht="19.5" customHeight="1"/>
    <row r="8" spans="1:7" s="228" customFormat="1" ht="24" customHeight="1">
      <c r="A8" s="287" t="s">
        <v>280</v>
      </c>
      <c r="B8" s="288" t="s">
        <v>489</v>
      </c>
      <c r="C8" s="288"/>
      <c r="D8" s="288"/>
      <c r="E8" s="288"/>
      <c r="F8" s="288"/>
      <c r="G8" s="289"/>
    </row>
    <row r="9" spans="1:7" s="228" customFormat="1" ht="24" customHeight="1">
      <c r="A9" s="290" t="s">
        <v>114</v>
      </c>
      <c r="B9" s="291" t="s">
        <v>490</v>
      </c>
      <c r="C9" s="291"/>
      <c r="D9" s="291"/>
      <c r="E9" s="291"/>
      <c r="F9" s="291"/>
      <c r="G9" s="292"/>
    </row>
    <row r="10" spans="1:7" s="228" customFormat="1" ht="15.75" customHeight="1">
      <c r="A10" s="290"/>
      <c r="B10" s="291"/>
      <c r="C10" s="291"/>
      <c r="D10" s="291"/>
      <c r="E10" s="291"/>
      <c r="F10" s="291"/>
      <c r="G10" s="292"/>
    </row>
    <row r="11" spans="1:7" s="228" customFormat="1" ht="24" customHeight="1">
      <c r="A11" s="290" t="s">
        <v>281</v>
      </c>
      <c r="B11" s="291" t="s">
        <v>491</v>
      </c>
      <c r="C11" s="291"/>
      <c r="D11" s="291"/>
      <c r="E11" s="291"/>
      <c r="F11" s="291"/>
      <c r="G11" s="292"/>
    </row>
    <row r="12" spans="1:7" s="228" customFormat="1" ht="15.75" customHeight="1">
      <c r="A12" s="290"/>
      <c r="B12" s="291"/>
      <c r="C12" s="291"/>
      <c r="D12" s="291"/>
      <c r="E12" s="291"/>
      <c r="F12" s="291"/>
      <c r="G12" s="292"/>
    </row>
    <row r="13" spans="1:7" s="228" customFormat="1" ht="24" customHeight="1">
      <c r="A13" s="290" t="s">
        <v>282</v>
      </c>
      <c r="B13" s="291" t="s">
        <v>492</v>
      </c>
      <c r="C13" s="291"/>
      <c r="D13" s="291"/>
      <c r="E13" s="291"/>
      <c r="F13" s="291"/>
      <c r="G13" s="292"/>
    </row>
    <row r="14" spans="1:7" s="228" customFormat="1" ht="15" customHeight="1">
      <c r="A14" s="290"/>
      <c r="B14" s="291"/>
      <c r="C14" s="291"/>
      <c r="D14" s="291"/>
      <c r="E14" s="291"/>
      <c r="F14" s="291"/>
      <c r="G14" s="292"/>
    </row>
    <row r="15" spans="1:7" s="228" customFormat="1" ht="24" customHeight="1">
      <c r="A15" s="290" t="s">
        <v>382</v>
      </c>
      <c r="B15" s="291" t="s">
        <v>383</v>
      </c>
      <c r="C15" s="291"/>
      <c r="D15" s="291"/>
      <c r="E15" s="291"/>
      <c r="F15" s="291"/>
      <c r="G15" s="292"/>
    </row>
    <row r="16" spans="1:7" s="228" customFormat="1" ht="24" customHeight="1">
      <c r="A16" s="293" t="s">
        <v>114</v>
      </c>
      <c r="B16" s="291" t="s">
        <v>384</v>
      </c>
      <c r="C16" s="291"/>
      <c r="D16" s="291"/>
      <c r="E16" s="291"/>
      <c r="F16" s="291"/>
      <c r="G16" s="292"/>
    </row>
    <row r="17" spans="1:7" s="228" customFormat="1" ht="24" customHeight="1">
      <c r="A17" s="293"/>
      <c r="B17" s="291" t="s">
        <v>385</v>
      </c>
      <c r="C17" s="291"/>
      <c r="D17" s="291"/>
      <c r="E17" s="291"/>
      <c r="F17" s="291"/>
      <c r="G17" s="292"/>
    </row>
    <row r="18" spans="1:7" s="228" customFormat="1" ht="27" customHeight="1">
      <c r="A18" s="293"/>
      <c r="B18" s="291" t="s">
        <v>387</v>
      </c>
      <c r="C18" s="291"/>
      <c r="D18" s="291"/>
      <c r="E18" s="291"/>
      <c r="F18" s="291"/>
      <c r="G18" s="292"/>
    </row>
    <row r="19" spans="1:7" s="228" customFormat="1" ht="27" customHeight="1">
      <c r="A19" s="293"/>
      <c r="B19" s="291" t="s">
        <v>386</v>
      </c>
      <c r="C19" s="291"/>
      <c r="D19" s="291"/>
      <c r="E19" s="291"/>
      <c r="F19" s="291"/>
      <c r="G19" s="292"/>
    </row>
    <row r="20" spans="1:7" s="228" customFormat="1" ht="27" customHeight="1">
      <c r="A20" s="293"/>
      <c r="B20" s="291" t="s">
        <v>388</v>
      </c>
      <c r="C20" s="291"/>
      <c r="D20" s="291"/>
      <c r="E20" s="291"/>
      <c r="F20" s="291"/>
      <c r="G20" s="292"/>
    </row>
    <row r="21" spans="1:10" s="75" customFormat="1" ht="15.75" customHeight="1">
      <c r="A21" s="294"/>
      <c r="B21" s="295"/>
      <c r="C21" s="295"/>
      <c r="D21" s="295"/>
      <c r="E21" s="295"/>
      <c r="F21" s="295"/>
      <c r="G21" s="296"/>
      <c r="H21" s="89"/>
      <c r="I21" s="89"/>
      <c r="J21" s="89"/>
    </row>
    <row r="22" spans="1:7" s="228" customFormat="1" ht="24" customHeight="1">
      <c r="A22" s="290" t="s">
        <v>389</v>
      </c>
      <c r="B22" s="291" t="s">
        <v>391</v>
      </c>
      <c r="C22" s="291"/>
      <c r="D22" s="291"/>
      <c r="E22" s="291"/>
      <c r="F22" s="291"/>
      <c r="G22" s="292"/>
    </row>
    <row r="23" spans="1:7" s="228" customFormat="1" ht="24" customHeight="1">
      <c r="A23" s="293" t="s">
        <v>114</v>
      </c>
      <c r="B23" s="291" t="s">
        <v>392</v>
      </c>
      <c r="C23" s="291"/>
      <c r="D23" s="291"/>
      <c r="E23" s="291"/>
      <c r="F23" s="291"/>
      <c r="G23" s="292"/>
    </row>
    <row r="24" spans="1:7" s="228" customFormat="1" ht="27" customHeight="1">
      <c r="A24" s="293"/>
      <c r="B24" s="291" t="s">
        <v>393</v>
      </c>
      <c r="C24" s="291"/>
      <c r="D24" s="291"/>
      <c r="E24" s="291"/>
      <c r="F24" s="291"/>
      <c r="G24" s="292"/>
    </row>
    <row r="25" spans="1:7" s="228" customFormat="1" ht="27" customHeight="1">
      <c r="A25" s="293"/>
      <c r="B25" s="291" t="s">
        <v>395</v>
      </c>
      <c r="C25" s="291"/>
      <c r="D25" s="291"/>
      <c r="E25" s="291"/>
      <c r="F25" s="291"/>
      <c r="G25" s="292"/>
    </row>
    <row r="26" spans="1:7" s="228" customFormat="1" ht="27" customHeight="1">
      <c r="A26" s="293"/>
      <c r="B26" s="291" t="s">
        <v>394</v>
      </c>
      <c r="C26" s="291"/>
      <c r="D26" s="291"/>
      <c r="E26" s="291"/>
      <c r="F26" s="291"/>
      <c r="G26" s="292"/>
    </row>
    <row r="27" spans="1:7" ht="13.5">
      <c r="A27" s="297"/>
      <c r="B27" s="220"/>
      <c r="C27" s="220"/>
      <c r="D27" s="220"/>
      <c r="E27" s="220"/>
      <c r="F27" s="220"/>
      <c r="G27" s="298"/>
    </row>
    <row r="28" spans="1:7" ht="13.5">
      <c r="A28" s="297"/>
      <c r="B28" s="220"/>
      <c r="C28" s="220"/>
      <c r="D28" s="220"/>
      <c r="E28" s="220"/>
      <c r="F28" s="220"/>
      <c r="G28" s="298"/>
    </row>
    <row r="29" spans="1:7" ht="13.5">
      <c r="A29" s="297"/>
      <c r="B29" s="220"/>
      <c r="C29" s="220"/>
      <c r="D29" s="220"/>
      <c r="E29" s="220"/>
      <c r="F29" s="220"/>
      <c r="G29" s="298"/>
    </row>
    <row r="30" spans="1:7" ht="13.5">
      <c r="A30" s="299"/>
      <c r="B30" s="300"/>
      <c r="C30" s="300"/>
      <c r="D30" s="300"/>
      <c r="E30" s="300"/>
      <c r="F30" s="300"/>
      <c r="G30" s="301"/>
    </row>
  </sheetData>
  <sheetProtection/>
  <mergeCells count="5">
    <mergeCell ref="A6:B6"/>
    <mergeCell ref="C6:D6"/>
    <mergeCell ref="F6:G6"/>
    <mergeCell ref="A1:G1"/>
    <mergeCell ref="A3:G3"/>
  </mergeCells>
  <printOptions horizontalCentered="1"/>
  <pageMargins left="0.3937007874015748" right="0.35433070866141736" top="1.220472440944882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8" sqref="B18"/>
    </sheetView>
  </sheetViews>
  <sheetFormatPr defaultColWidth="17.7109375" defaultRowHeight="24" customHeight="1"/>
  <cols>
    <col min="1" max="1" width="21.00390625" style="233" customWidth="1"/>
    <col min="2" max="16384" width="17.7109375" style="233" customWidth="1"/>
  </cols>
  <sheetData>
    <row r="1" spans="1:5" ht="49.5" customHeight="1">
      <c r="A1" s="323" t="s">
        <v>317</v>
      </c>
      <c r="B1" s="324"/>
      <c r="C1" s="324"/>
      <c r="D1" s="324"/>
      <c r="E1" s="324"/>
    </row>
    <row r="2" ht="41.25" customHeight="1"/>
    <row r="3" spans="1:5" ht="27" customHeight="1">
      <c r="A3" s="234" t="s">
        <v>318</v>
      </c>
      <c r="E3" s="235" t="s">
        <v>319</v>
      </c>
    </row>
    <row r="4" spans="1:5" s="237" customFormat="1" ht="27" customHeight="1">
      <c r="A4" s="236" t="s">
        <v>320</v>
      </c>
      <c r="B4" s="236" t="s">
        <v>315</v>
      </c>
      <c r="C4" s="236" t="s">
        <v>321</v>
      </c>
      <c r="D4" s="236" t="s">
        <v>322</v>
      </c>
      <c r="E4" s="236" t="s">
        <v>316</v>
      </c>
    </row>
    <row r="5" spans="1:5" s="239" customFormat="1" ht="27" customHeight="1">
      <c r="A5" s="238" t="s">
        <v>323</v>
      </c>
      <c r="B5" s="238" t="s">
        <v>324</v>
      </c>
      <c r="C5" s="238" t="s">
        <v>325</v>
      </c>
      <c r="D5" s="238" t="s">
        <v>326</v>
      </c>
      <c r="E5" s="238" t="s">
        <v>327</v>
      </c>
    </row>
    <row r="6" spans="1:5" ht="27" customHeight="1">
      <c r="A6" s="240" t="s">
        <v>328</v>
      </c>
      <c r="B6" s="241">
        <v>527687</v>
      </c>
      <c r="C6" s="241">
        <v>525524</v>
      </c>
      <c r="D6" s="241">
        <f aca="true" t="shared" si="0" ref="D6:D11">B6-C6</f>
        <v>2163</v>
      </c>
      <c r="E6" s="242">
        <f aca="true" t="shared" si="1" ref="E6:E11">ROUNDDOWN(B6/$B$12,4)</f>
        <v>0.2926</v>
      </c>
    </row>
    <row r="7" spans="1:5" ht="27" customHeight="1">
      <c r="A7" s="240" t="s">
        <v>329</v>
      </c>
      <c r="B7" s="241">
        <v>332943</v>
      </c>
      <c r="C7" s="241">
        <v>308494</v>
      </c>
      <c r="D7" s="241">
        <f t="shared" si="0"/>
        <v>24449</v>
      </c>
      <c r="E7" s="242">
        <f t="shared" si="1"/>
        <v>0.1846</v>
      </c>
    </row>
    <row r="8" spans="1:5" ht="27" customHeight="1">
      <c r="A8" s="240" t="s">
        <v>330</v>
      </c>
      <c r="B8" s="241">
        <v>651711</v>
      </c>
      <c r="C8" s="241">
        <v>658976</v>
      </c>
      <c r="D8" s="241">
        <f t="shared" si="0"/>
        <v>-7265</v>
      </c>
      <c r="E8" s="242">
        <f t="shared" si="1"/>
        <v>0.3614</v>
      </c>
    </row>
    <row r="9" spans="1:5" ht="27" customHeight="1">
      <c r="A9" s="240" t="s">
        <v>331</v>
      </c>
      <c r="B9" s="241">
        <v>203</v>
      </c>
      <c r="C9" s="241">
        <v>200</v>
      </c>
      <c r="D9" s="241">
        <f t="shared" si="0"/>
        <v>3</v>
      </c>
      <c r="E9" s="242">
        <f t="shared" si="1"/>
        <v>0.0001</v>
      </c>
    </row>
    <row r="10" spans="1:5" ht="27" customHeight="1">
      <c r="A10" s="240" t="s">
        <v>332</v>
      </c>
      <c r="B10" s="241">
        <v>288036</v>
      </c>
      <c r="C10" s="241">
        <v>284337</v>
      </c>
      <c r="D10" s="241">
        <f t="shared" si="0"/>
        <v>3699</v>
      </c>
      <c r="E10" s="242">
        <f t="shared" si="1"/>
        <v>0.1597</v>
      </c>
    </row>
    <row r="11" spans="1:5" ht="27" customHeight="1">
      <c r="A11" s="240" t="s">
        <v>333</v>
      </c>
      <c r="B11" s="241">
        <v>2662</v>
      </c>
      <c r="C11" s="241">
        <v>2959</v>
      </c>
      <c r="D11" s="241">
        <f t="shared" si="0"/>
        <v>-297</v>
      </c>
      <c r="E11" s="242">
        <f t="shared" si="1"/>
        <v>0.0014</v>
      </c>
    </row>
    <row r="12" spans="1:5" ht="27" customHeight="1">
      <c r="A12" s="240" t="s">
        <v>334</v>
      </c>
      <c r="B12" s="241">
        <f>SUM(B6:B11)</f>
        <v>1803242</v>
      </c>
      <c r="C12" s="241">
        <f>SUM(C6:C11)</f>
        <v>1780490</v>
      </c>
      <c r="D12" s="241">
        <f>SUM(D6:D11)</f>
        <v>22752</v>
      </c>
      <c r="E12" s="242">
        <f>B12/$B$12</f>
        <v>1</v>
      </c>
    </row>
    <row r="13" spans="1:5" ht="27" customHeight="1">
      <c r="A13" s="243"/>
      <c r="B13" s="243"/>
      <c r="C13" s="243"/>
      <c r="D13" s="243"/>
      <c r="E13" s="243"/>
    </row>
    <row r="14" spans="1:5" ht="27" customHeight="1">
      <c r="A14" s="234" t="s">
        <v>335</v>
      </c>
      <c r="B14" s="243"/>
      <c r="C14" s="243"/>
      <c r="D14" s="243"/>
      <c r="E14" s="235" t="s">
        <v>319</v>
      </c>
    </row>
    <row r="15" spans="1:5" s="237" customFormat="1" ht="27" customHeight="1">
      <c r="A15" s="236" t="s">
        <v>320</v>
      </c>
      <c r="B15" s="236" t="s">
        <v>315</v>
      </c>
      <c r="C15" s="236" t="s">
        <v>321</v>
      </c>
      <c r="D15" s="236" t="s">
        <v>322</v>
      </c>
      <c r="E15" s="236" t="s">
        <v>316</v>
      </c>
    </row>
    <row r="16" spans="1:5" s="239" customFormat="1" ht="27" customHeight="1">
      <c r="A16" s="238" t="s">
        <v>323</v>
      </c>
      <c r="B16" s="238" t="s">
        <v>324</v>
      </c>
      <c r="C16" s="238" t="s">
        <v>325</v>
      </c>
      <c r="D16" s="238" t="s">
        <v>326</v>
      </c>
      <c r="E16" s="238" t="s">
        <v>327</v>
      </c>
    </row>
    <row r="17" spans="1:5" ht="27" customHeight="1">
      <c r="A17" s="240" t="s">
        <v>336</v>
      </c>
      <c r="B17" s="241">
        <v>682995</v>
      </c>
      <c r="C17" s="241">
        <v>659803</v>
      </c>
      <c r="D17" s="241">
        <f>B17-C17</f>
        <v>23192</v>
      </c>
      <c r="E17" s="242">
        <f>ROUNDDOWN(B17/$B$22,4)</f>
        <v>0.3787</v>
      </c>
    </row>
    <row r="18" spans="1:5" ht="27" customHeight="1">
      <c r="A18" s="240" t="s">
        <v>337</v>
      </c>
      <c r="B18" s="241">
        <f>793964+36778</f>
        <v>830742</v>
      </c>
      <c r="C18" s="241">
        <f>797086+36810</f>
        <v>833896</v>
      </c>
      <c r="D18" s="241">
        <f>B18-C18</f>
        <v>-3154</v>
      </c>
      <c r="E18" s="242">
        <f>ROUNDDOWN(B18/$B$22,4)</f>
        <v>0.4606</v>
      </c>
    </row>
    <row r="19" spans="1:5" ht="27" customHeight="1">
      <c r="A19" s="240" t="s">
        <v>338</v>
      </c>
      <c r="B19" s="241">
        <v>1469</v>
      </c>
      <c r="C19" s="241">
        <v>1454</v>
      </c>
      <c r="D19" s="241">
        <f>B19-C19</f>
        <v>15</v>
      </c>
      <c r="E19" s="242">
        <f>ROUNDDOWN(B19/$B$22,4)</f>
        <v>0.0008</v>
      </c>
    </row>
    <row r="20" spans="1:5" ht="27" customHeight="1">
      <c r="A20" s="240" t="s">
        <v>339</v>
      </c>
      <c r="B20" s="241">
        <v>0</v>
      </c>
      <c r="C20" s="241">
        <v>1000</v>
      </c>
      <c r="D20" s="241">
        <f>B20-C20</f>
        <v>-1000</v>
      </c>
      <c r="E20" s="242">
        <f>ROUNDDOWN(B20/$B$22,4)</f>
        <v>0</v>
      </c>
    </row>
    <row r="21" spans="1:5" ht="27" customHeight="1">
      <c r="A21" s="240" t="s">
        <v>332</v>
      </c>
      <c r="B21" s="241">
        <v>288036</v>
      </c>
      <c r="C21" s="241">
        <v>284337</v>
      </c>
      <c r="D21" s="241">
        <f>B21-C21</f>
        <v>3699</v>
      </c>
      <c r="E21" s="242">
        <f>ROUNDDOWN(B21/$B$22,4)</f>
        <v>0.1597</v>
      </c>
    </row>
    <row r="22" spans="1:5" ht="27" customHeight="1">
      <c r="A22" s="240" t="s">
        <v>340</v>
      </c>
      <c r="B22" s="241">
        <f>SUM(B17:B21)</f>
        <v>1803242</v>
      </c>
      <c r="C22" s="241">
        <f>SUM(C17:C21)</f>
        <v>1780490</v>
      </c>
      <c r="D22" s="241">
        <f>SUM(D17:D21)</f>
        <v>22752</v>
      </c>
      <c r="E22" s="242">
        <f>B22/$B$22</f>
        <v>1</v>
      </c>
    </row>
    <row r="23" ht="27" customHeight="1"/>
    <row r="24" ht="27" customHeight="1"/>
    <row r="25" ht="27" customHeight="1"/>
  </sheetData>
  <sheetProtection/>
  <mergeCells count="1">
    <mergeCell ref="A1:E1"/>
  </mergeCells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zoomScalePageLayoutView="0" workbookViewId="0" topLeftCell="A1">
      <selection activeCell="K15" sqref="K15"/>
    </sheetView>
  </sheetViews>
  <sheetFormatPr defaultColWidth="10.28125" defaultRowHeight="22.5" customHeight="1"/>
  <cols>
    <col min="1" max="1" width="5.28125" style="232" customWidth="1"/>
    <col min="2" max="2" width="5.8515625" style="232" customWidth="1"/>
    <col min="3" max="3" width="19.8515625" style="232" customWidth="1"/>
    <col min="4" max="5" width="16.140625" style="232" customWidth="1"/>
    <col min="6" max="6" width="13.57421875" style="232" customWidth="1"/>
    <col min="7" max="7" width="12.140625" style="232" customWidth="1"/>
    <col min="8" max="16384" width="10.28125" style="232" customWidth="1"/>
  </cols>
  <sheetData>
    <row r="1" spans="1:7" s="244" customFormat="1" ht="27" customHeight="1">
      <c r="A1" s="334" t="s">
        <v>345</v>
      </c>
      <c r="B1" s="334"/>
      <c r="C1" s="334"/>
      <c r="D1" s="334"/>
      <c r="E1" s="334"/>
      <c r="F1" s="334"/>
      <c r="G1" s="334"/>
    </row>
    <row r="2" s="229" customFormat="1" ht="22.5" customHeight="1" thickBot="1">
      <c r="G2" s="230" t="s">
        <v>283</v>
      </c>
    </row>
    <row r="3" spans="1:7" s="259" customFormat="1" ht="36" customHeight="1" thickBot="1">
      <c r="A3" s="255" t="s">
        <v>7</v>
      </c>
      <c r="B3" s="337" t="s">
        <v>8</v>
      </c>
      <c r="C3" s="337"/>
      <c r="D3" s="256" t="s">
        <v>315</v>
      </c>
      <c r="E3" s="257" t="s">
        <v>321</v>
      </c>
      <c r="F3" s="257" t="s">
        <v>9</v>
      </c>
      <c r="G3" s="258" t="s">
        <v>342</v>
      </c>
    </row>
    <row r="4" spans="1:7" s="259" customFormat="1" ht="15" customHeight="1">
      <c r="A4" s="336" t="s">
        <v>284</v>
      </c>
      <c r="B4" s="335" t="s">
        <v>48</v>
      </c>
      <c r="C4" s="335"/>
      <c r="D4" s="260">
        <f>SUM(D5:D7)</f>
        <v>527687</v>
      </c>
      <c r="E4" s="260">
        <f>SUM(E5:E7)</f>
        <v>525524</v>
      </c>
      <c r="F4" s="261">
        <f>+D4-E4</f>
        <v>2163</v>
      </c>
      <c r="G4" s="262">
        <f>ROUNDDOWN(D4/$D$45,4)</f>
        <v>0.2926</v>
      </c>
    </row>
    <row r="5" spans="1:7" s="259" customFormat="1" ht="15" customHeight="1">
      <c r="A5" s="330"/>
      <c r="B5" s="325"/>
      <c r="C5" s="263" t="s">
        <v>285</v>
      </c>
      <c r="D5" s="264">
        <v>7910</v>
      </c>
      <c r="E5" s="264">
        <v>7700</v>
      </c>
      <c r="F5" s="265">
        <f aca="true" t="shared" si="0" ref="F5:F23">+D5-E5</f>
        <v>210</v>
      </c>
      <c r="G5" s="266">
        <f>ROUNDDOWN(D5/$D$45,4)</f>
        <v>0.0043</v>
      </c>
    </row>
    <row r="6" spans="1:7" s="259" customFormat="1" ht="15" customHeight="1">
      <c r="A6" s="330"/>
      <c r="B6" s="326"/>
      <c r="C6" s="263" t="s">
        <v>286</v>
      </c>
      <c r="D6" s="264">
        <v>519777</v>
      </c>
      <c r="E6" s="264">
        <v>517824</v>
      </c>
      <c r="F6" s="265">
        <f t="shared" si="0"/>
        <v>1953</v>
      </c>
      <c r="G6" s="266">
        <f aca="true" t="shared" si="1" ref="G6:G45">ROUNDDOWN(D6/$D$45,4)</f>
        <v>0.2882</v>
      </c>
    </row>
    <row r="7" spans="1:7" s="259" customFormat="1" ht="15" customHeight="1">
      <c r="A7" s="330"/>
      <c r="B7" s="327"/>
      <c r="C7" s="263" t="s">
        <v>287</v>
      </c>
      <c r="D7" s="264">
        <v>0</v>
      </c>
      <c r="E7" s="264">
        <v>0</v>
      </c>
      <c r="F7" s="265">
        <f t="shared" si="0"/>
        <v>0</v>
      </c>
      <c r="G7" s="266">
        <f t="shared" si="1"/>
        <v>0</v>
      </c>
    </row>
    <row r="8" spans="1:7" s="259" customFormat="1" ht="15" customHeight="1">
      <c r="A8" s="330"/>
      <c r="B8" s="328" t="s">
        <v>288</v>
      </c>
      <c r="C8" s="328"/>
      <c r="D8" s="264">
        <f>SUM(D9:D13)</f>
        <v>332943</v>
      </c>
      <c r="E8" s="264">
        <f>SUM(E9:E13)</f>
        <v>308494</v>
      </c>
      <c r="F8" s="265">
        <f t="shared" si="0"/>
        <v>24449</v>
      </c>
      <c r="G8" s="266">
        <f t="shared" si="1"/>
        <v>0.1846</v>
      </c>
    </row>
    <row r="9" spans="1:7" s="259" customFormat="1" ht="15" customHeight="1">
      <c r="A9" s="330"/>
      <c r="B9" s="325"/>
      <c r="C9" s="263" t="s">
        <v>289</v>
      </c>
      <c r="D9" s="264">
        <v>23853</v>
      </c>
      <c r="E9" s="264">
        <v>26160</v>
      </c>
      <c r="F9" s="265">
        <f t="shared" si="0"/>
        <v>-2307</v>
      </c>
      <c r="G9" s="266">
        <f t="shared" si="1"/>
        <v>0.0132</v>
      </c>
    </row>
    <row r="10" spans="1:7" s="259" customFormat="1" ht="15" customHeight="1">
      <c r="A10" s="330"/>
      <c r="B10" s="326"/>
      <c r="C10" s="263" t="s">
        <v>290</v>
      </c>
      <c r="D10" s="264">
        <v>6573</v>
      </c>
      <c r="E10" s="264">
        <v>7296</v>
      </c>
      <c r="F10" s="265">
        <f>+D10-E10</f>
        <v>-723</v>
      </c>
      <c r="G10" s="266">
        <f t="shared" si="1"/>
        <v>0.0036</v>
      </c>
    </row>
    <row r="11" spans="1:7" s="259" customFormat="1" ht="15" customHeight="1">
      <c r="A11" s="330"/>
      <c r="B11" s="326"/>
      <c r="C11" s="263" t="s">
        <v>291</v>
      </c>
      <c r="D11" s="264">
        <v>12229</v>
      </c>
      <c r="E11" s="264">
        <v>12432</v>
      </c>
      <c r="F11" s="265">
        <f>+D11-E11</f>
        <v>-203</v>
      </c>
      <c r="G11" s="266">
        <f t="shared" si="1"/>
        <v>0.0067</v>
      </c>
    </row>
    <row r="12" spans="1:7" s="259" customFormat="1" ht="15" customHeight="1">
      <c r="A12" s="330"/>
      <c r="B12" s="326"/>
      <c r="C12" s="263" t="s">
        <v>292</v>
      </c>
      <c r="D12" s="264">
        <v>23200</v>
      </c>
      <c r="E12" s="264">
        <v>29130</v>
      </c>
      <c r="F12" s="265">
        <f>+D12-E12</f>
        <v>-5930</v>
      </c>
      <c r="G12" s="266">
        <f t="shared" si="1"/>
        <v>0.0128</v>
      </c>
    </row>
    <row r="13" spans="1:7" s="259" customFormat="1" ht="15" customHeight="1">
      <c r="A13" s="330"/>
      <c r="B13" s="327"/>
      <c r="C13" s="263" t="s">
        <v>293</v>
      </c>
      <c r="D13" s="264">
        <v>267088</v>
      </c>
      <c r="E13" s="264">
        <v>233476</v>
      </c>
      <c r="F13" s="265">
        <f t="shared" si="0"/>
        <v>33612</v>
      </c>
      <c r="G13" s="266">
        <f t="shared" si="1"/>
        <v>0.1481</v>
      </c>
    </row>
    <row r="14" spans="1:7" s="259" customFormat="1" ht="15" customHeight="1">
      <c r="A14" s="330"/>
      <c r="B14" s="328" t="s">
        <v>59</v>
      </c>
      <c r="C14" s="328"/>
      <c r="D14" s="264">
        <f>SUM(D15:D15)</f>
        <v>651711</v>
      </c>
      <c r="E14" s="264">
        <f>SUM(E15:E15)</f>
        <v>658976</v>
      </c>
      <c r="F14" s="265">
        <f t="shared" si="0"/>
        <v>-7265</v>
      </c>
      <c r="G14" s="266">
        <f t="shared" si="1"/>
        <v>0.3614</v>
      </c>
    </row>
    <row r="15" spans="1:7" s="259" customFormat="1" ht="15" customHeight="1">
      <c r="A15" s="330"/>
      <c r="B15" s="267"/>
      <c r="C15" s="263" t="s">
        <v>294</v>
      </c>
      <c r="D15" s="264">
        <v>651711</v>
      </c>
      <c r="E15" s="264">
        <v>658976</v>
      </c>
      <c r="F15" s="265">
        <f t="shared" si="0"/>
        <v>-7265</v>
      </c>
      <c r="G15" s="266">
        <f t="shared" si="1"/>
        <v>0.3614</v>
      </c>
    </row>
    <row r="16" spans="1:7" s="259" customFormat="1" ht="15" customHeight="1">
      <c r="A16" s="330"/>
      <c r="B16" s="267" t="s">
        <v>60</v>
      </c>
      <c r="C16" s="268"/>
      <c r="D16" s="264">
        <f>D17</f>
        <v>203</v>
      </c>
      <c r="E16" s="264">
        <f>E17</f>
        <v>200</v>
      </c>
      <c r="F16" s="265">
        <f t="shared" si="0"/>
        <v>3</v>
      </c>
      <c r="G16" s="266">
        <f t="shared" si="1"/>
        <v>0.0001</v>
      </c>
    </row>
    <row r="17" spans="1:7" s="259" customFormat="1" ht="15" customHeight="1">
      <c r="A17" s="330"/>
      <c r="B17" s="267"/>
      <c r="C17" s="263" t="s">
        <v>344</v>
      </c>
      <c r="D17" s="264">
        <v>203</v>
      </c>
      <c r="E17" s="264">
        <v>200</v>
      </c>
      <c r="F17" s="265">
        <f>+D17-E17</f>
        <v>3</v>
      </c>
      <c r="G17" s="266">
        <f>ROUNDDOWN(D17/$D$45,4)</f>
        <v>0.0001</v>
      </c>
    </row>
    <row r="18" spans="1:7" s="259" customFormat="1" ht="15" customHeight="1">
      <c r="A18" s="330"/>
      <c r="B18" s="267" t="s">
        <v>295</v>
      </c>
      <c r="C18" s="268"/>
      <c r="D18" s="264">
        <f>SUM(D19:D22)</f>
        <v>288036</v>
      </c>
      <c r="E18" s="264">
        <f>SUM(E19:E22)</f>
        <v>284337</v>
      </c>
      <c r="F18" s="265">
        <f t="shared" si="0"/>
        <v>3699</v>
      </c>
      <c r="G18" s="266">
        <f t="shared" si="1"/>
        <v>0.1597</v>
      </c>
    </row>
    <row r="19" spans="1:7" s="259" customFormat="1" ht="15" customHeight="1">
      <c r="A19" s="330"/>
      <c r="B19" s="326"/>
      <c r="C19" s="263" t="s">
        <v>399</v>
      </c>
      <c r="D19" s="264">
        <v>76357</v>
      </c>
      <c r="E19" s="264">
        <v>95700</v>
      </c>
      <c r="F19" s="265">
        <f t="shared" si="0"/>
        <v>-19343</v>
      </c>
      <c r="G19" s="266">
        <f t="shared" si="1"/>
        <v>0.0423</v>
      </c>
    </row>
    <row r="20" spans="1:7" s="259" customFormat="1" ht="15" customHeight="1">
      <c r="A20" s="330"/>
      <c r="B20" s="326"/>
      <c r="C20" s="263" t="s">
        <v>296</v>
      </c>
      <c r="D20" s="264">
        <v>23633</v>
      </c>
      <c r="E20" s="264">
        <v>19836</v>
      </c>
      <c r="F20" s="265">
        <f>+D20-E20</f>
        <v>3797</v>
      </c>
      <c r="G20" s="266">
        <f t="shared" si="1"/>
        <v>0.0131</v>
      </c>
    </row>
    <row r="21" spans="1:7" s="259" customFormat="1" ht="15" customHeight="1">
      <c r="A21" s="330"/>
      <c r="B21" s="326"/>
      <c r="C21" s="263" t="s">
        <v>297</v>
      </c>
      <c r="D21" s="264">
        <v>43281</v>
      </c>
      <c r="E21" s="264">
        <v>43701</v>
      </c>
      <c r="F21" s="265">
        <f t="shared" si="0"/>
        <v>-420</v>
      </c>
      <c r="G21" s="266">
        <f t="shared" si="1"/>
        <v>0.024</v>
      </c>
    </row>
    <row r="22" spans="1:7" s="259" customFormat="1" ht="15" customHeight="1">
      <c r="A22" s="330"/>
      <c r="B22" s="327"/>
      <c r="C22" s="263" t="s">
        <v>298</v>
      </c>
      <c r="D22" s="264">
        <v>144765</v>
      </c>
      <c r="E22" s="264">
        <v>125100</v>
      </c>
      <c r="F22" s="265">
        <f t="shared" si="0"/>
        <v>19665</v>
      </c>
      <c r="G22" s="266">
        <f t="shared" si="1"/>
        <v>0.0802</v>
      </c>
    </row>
    <row r="23" spans="1:7" s="259" customFormat="1" ht="15" customHeight="1">
      <c r="A23" s="330"/>
      <c r="B23" s="267" t="s">
        <v>299</v>
      </c>
      <c r="C23" s="268"/>
      <c r="D23" s="264">
        <v>2662</v>
      </c>
      <c r="E23" s="264">
        <v>2959</v>
      </c>
      <c r="F23" s="265">
        <f t="shared" si="0"/>
        <v>-297</v>
      </c>
      <c r="G23" s="266">
        <f t="shared" si="1"/>
        <v>0.0014</v>
      </c>
    </row>
    <row r="24" spans="1:7" s="259" customFormat="1" ht="15" customHeight="1" thickBot="1">
      <c r="A24" s="331"/>
      <c r="B24" s="332" t="s">
        <v>300</v>
      </c>
      <c r="C24" s="332"/>
      <c r="D24" s="269">
        <f>SUM(D4,D8,D14,D16,D18,D23)</f>
        <v>1803242</v>
      </c>
      <c r="E24" s="270">
        <f>SUM(E4,E8,E14,E16,E18,E23)</f>
        <v>1780490</v>
      </c>
      <c r="F24" s="270">
        <f>SUM(F4,F8,F14,F16,F18,F23)</f>
        <v>22752</v>
      </c>
      <c r="G24" s="271">
        <f t="shared" si="1"/>
        <v>1</v>
      </c>
    </row>
    <row r="25" spans="1:7" s="259" customFormat="1" ht="15" customHeight="1">
      <c r="A25" s="329" t="s">
        <v>301</v>
      </c>
      <c r="B25" s="333" t="s">
        <v>33</v>
      </c>
      <c r="C25" s="333"/>
      <c r="D25" s="272">
        <f>SUM(D26:D30)</f>
        <v>682995</v>
      </c>
      <c r="E25" s="272">
        <f>SUM(E26:E30)</f>
        <v>659803</v>
      </c>
      <c r="F25" s="272">
        <f aca="true" t="shared" si="2" ref="F25:F44">+D25-E25</f>
        <v>23192</v>
      </c>
      <c r="G25" s="273">
        <f t="shared" si="1"/>
        <v>0.3787</v>
      </c>
    </row>
    <row r="26" spans="1:7" s="259" customFormat="1" ht="15" customHeight="1">
      <c r="A26" s="330"/>
      <c r="B26" s="325"/>
      <c r="C26" s="263" t="s">
        <v>302</v>
      </c>
      <c r="D26" s="274">
        <v>255342</v>
      </c>
      <c r="E26" s="274">
        <v>218368</v>
      </c>
      <c r="F26" s="272">
        <f t="shared" si="2"/>
        <v>36974</v>
      </c>
      <c r="G26" s="266">
        <f t="shared" si="1"/>
        <v>0.1416</v>
      </c>
    </row>
    <row r="27" spans="1:7" s="259" customFormat="1" ht="15" customHeight="1">
      <c r="A27" s="330"/>
      <c r="B27" s="326"/>
      <c r="C27" s="263" t="s">
        <v>303</v>
      </c>
      <c r="D27" s="264">
        <v>26453</v>
      </c>
      <c r="E27" s="264">
        <v>20589</v>
      </c>
      <c r="F27" s="272">
        <f t="shared" si="2"/>
        <v>5864</v>
      </c>
      <c r="G27" s="266">
        <f t="shared" si="1"/>
        <v>0.0146</v>
      </c>
    </row>
    <row r="28" spans="1:7" s="259" customFormat="1" ht="15" customHeight="1">
      <c r="A28" s="330"/>
      <c r="B28" s="326"/>
      <c r="C28" s="263" t="s">
        <v>304</v>
      </c>
      <c r="D28" s="264">
        <v>167568</v>
      </c>
      <c r="E28" s="264">
        <v>169679</v>
      </c>
      <c r="F28" s="272">
        <f>+D28-E28</f>
        <v>-2111</v>
      </c>
      <c r="G28" s="266">
        <f t="shared" si="1"/>
        <v>0.0929</v>
      </c>
    </row>
    <row r="29" spans="1:7" s="259" customFormat="1" ht="15" customHeight="1">
      <c r="A29" s="330"/>
      <c r="B29" s="326"/>
      <c r="C29" s="263" t="s">
        <v>305</v>
      </c>
      <c r="D29" s="264">
        <v>73255</v>
      </c>
      <c r="E29" s="264">
        <v>78818</v>
      </c>
      <c r="F29" s="272">
        <f t="shared" si="2"/>
        <v>-5563</v>
      </c>
      <c r="G29" s="266">
        <f t="shared" si="1"/>
        <v>0.0406</v>
      </c>
    </row>
    <row r="30" spans="1:7" s="259" customFormat="1" ht="15" customHeight="1">
      <c r="A30" s="330"/>
      <c r="B30" s="326"/>
      <c r="C30" s="263" t="s">
        <v>306</v>
      </c>
      <c r="D30" s="264">
        <v>160377</v>
      </c>
      <c r="E30" s="264">
        <v>172349</v>
      </c>
      <c r="F30" s="272">
        <f t="shared" si="2"/>
        <v>-11972</v>
      </c>
      <c r="G30" s="266">
        <f t="shared" si="1"/>
        <v>0.0889</v>
      </c>
    </row>
    <row r="31" spans="1:7" s="259" customFormat="1" ht="15" customHeight="1">
      <c r="A31" s="330"/>
      <c r="B31" s="328" t="s">
        <v>307</v>
      </c>
      <c r="C31" s="328"/>
      <c r="D31" s="264">
        <f>SUM(D32:D34)</f>
        <v>830742</v>
      </c>
      <c r="E31" s="264">
        <f>SUM(E32:E34)</f>
        <v>833896</v>
      </c>
      <c r="F31" s="264">
        <f t="shared" si="2"/>
        <v>-3154</v>
      </c>
      <c r="G31" s="266">
        <f t="shared" si="1"/>
        <v>0.4606</v>
      </c>
    </row>
    <row r="32" spans="1:7" s="259" customFormat="1" ht="15" customHeight="1">
      <c r="A32" s="330"/>
      <c r="B32" s="328"/>
      <c r="C32" s="263" t="s">
        <v>308</v>
      </c>
      <c r="D32" s="264">
        <f>793964-D33</f>
        <v>780288</v>
      </c>
      <c r="E32" s="264">
        <f>797086-E33</f>
        <v>783386</v>
      </c>
      <c r="F32" s="264">
        <f t="shared" si="2"/>
        <v>-3098</v>
      </c>
      <c r="G32" s="266">
        <f t="shared" si="1"/>
        <v>0.4327</v>
      </c>
    </row>
    <row r="33" spans="1:7" s="259" customFormat="1" ht="15" customHeight="1">
      <c r="A33" s="330"/>
      <c r="B33" s="328"/>
      <c r="C33" s="263" t="s">
        <v>309</v>
      </c>
      <c r="D33" s="264">
        <v>13676</v>
      </c>
      <c r="E33" s="264">
        <v>13700</v>
      </c>
      <c r="F33" s="264">
        <f t="shared" si="2"/>
        <v>-24</v>
      </c>
      <c r="G33" s="266">
        <f t="shared" si="1"/>
        <v>0.0075</v>
      </c>
    </row>
    <row r="34" spans="1:7" s="259" customFormat="1" ht="15" customHeight="1">
      <c r="A34" s="330"/>
      <c r="B34" s="328"/>
      <c r="C34" s="263" t="s">
        <v>310</v>
      </c>
      <c r="D34" s="264">
        <v>36778</v>
      </c>
      <c r="E34" s="264">
        <v>36810</v>
      </c>
      <c r="F34" s="264">
        <f t="shared" si="2"/>
        <v>-32</v>
      </c>
      <c r="G34" s="266">
        <f t="shared" si="1"/>
        <v>0.0203</v>
      </c>
    </row>
    <row r="35" spans="1:7" s="259" customFormat="1" ht="15" customHeight="1">
      <c r="A35" s="330"/>
      <c r="B35" s="328" t="s">
        <v>82</v>
      </c>
      <c r="C35" s="328"/>
      <c r="D35" s="264">
        <f>SUM(D36:D38)</f>
        <v>1469</v>
      </c>
      <c r="E35" s="264">
        <f>SUM(E36:E38)</f>
        <v>1454</v>
      </c>
      <c r="F35" s="264">
        <f t="shared" si="2"/>
        <v>15</v>
      </c>
      <c r="G35" s="266">
        <f t="shared" si="1"/>
        <v>0.0008</v>
      </c>
    </row>
    <row r="36" spans="1:7" s="259" customFormat="1" ht="15" customHeight="1">
      <c r="A36" s="330"/>
      <c r="B36" s="325"/>
      <c r="C36" s="263" t="s">
        <v>311</v>
      </c>
      <c r="D36" s="264">
        <v>500</v>
      </c>
      <c r="E36" s="264">
        <v>500</v>
      </c>
      <c r="F36" s="264">
        <f t="shared" si="2"/>
        <v>0</v>
      </c>
      <c r="G36" s="266">
        <f t="shared" si="1"/>
        <v>0.0002</v>
      </c>
    </row>
    <row r="37" spans="1:7" s="259" customFormat="1" ht="15" customHeight="1">
      <c r="A37" s="330"/>
      <c r="B37" s="326"/>
      <c r="C37" s="263" t="s">
        <v>312</v>
      </c>
      <c r="D37" s="264">
        <v>249</v>
      </c>
      <c r="E37" s="264">
        <v>234</v>
      </c>
      <c r="F37" s="264">
        <f t="shared" si="2"/>
        <v>15</v>
      </c>
      <c r="G37" s="266">
        <f t="shared" si="1"/>
        <v>0.0001</v>
      </c>
    </row>
    <row r="38" spans="1:7" s="259" customFormat="1" ht="15" customHeight="1">
      <c r="A38" s="330"/>
      <c r="B38" s="327"/>
      <c r="C38" s="263" t="s">
        <v>313</v>
      </c>
      <c r="D38" s="264">
        <v>720</v>
      </c>
      <c r="E38" s="264">
        <v>720</v>
      </c>
      <c r="F38" s="264">
        <f t="shared" si="2"/>
        <v>0</v>
      </c>
      <c r="G38" s="266">
        <f t="shared" si="1"/>
        <v>0.0003</v>
      </c>
    </row>
    <row r="39" spans="1:7" s="259" customFormat="1" ht="15" customHeight="1">
      <c r="A39" s="330"/>
      <c r="B39" s="328" t="s">
        <v>83</v>
      </c>
      <c r="C39" s="328"/>
      <c r="D39" s="264">
        <v>0</v>
      </c>
      <c r="E39" s="264">
        <v>1000</v>
      </c>
      <c r="F39" s="264">
        <f>+D39-E39</f>
        <v>-1000</v>
      </c>
      <c r="G39" s="266">
        <f t="shared" si="1"/>
        <v>0</v>
      </c>
    </row>
    <row r="40" spans="1:7" s="259" customFormat="1" ht="15" customHeight="1">
      <c r="A40" s="330"/>
      <c r="B40" s="328" t="s">
        <v>84</v>
      </c>
      <c r="C40" s="328"/>
      <c r="D40" s="264">
        <f>SUM(D41:D44)</f>
        <v>288036</v>
      </c>
      <c r="E40" s="264">
        <f>SUM(E41:E44)</f>
        <v>284337</v>
      </c>
      <c r="F40" s="264">
        <f t="shared" si="2"/>
        <v>3699</v>
      </c>
      <c r="G40" s="266">
        <f t="shared" si="1"/>
        <v>0.1597</v>
      </c>
    </row>
    <row r="41" spans="1:7" s="259" customFormat="1" ht="15" customHeight="1">
      <c r="A41" s="330"/>
      <c r="B41" s="325"/>
      <c r="C41" s="263" t="s">
        <v>399</v>
      </c>
      <c r="D41" s="264">
        <v>76357</v>
      </c>
      <c r="E41" s="264">
        <v>95700</v>
      </c>
      <c r="F41" s="264">
        <f>+D41-E41</f>
        <v>-19343</v>
      </c>
      <c r="G41" s="266">
        <f t="shared" si="1"/>
        <v>0.0423</v>
      </c>
    </row>
    <row r="42" spans="1:7" s="259" customFormat="1" ht="15" customHeight="1">
      <c r="A42" s="330"/>
      <c r="B42" s="326"/>
      <c r="C42" s="263" t="s">
        <v>296</v>
      </c>
      <c r="D42" s="264">
        <v>23633</v>
      </c>
      <c r="E42" s="264">
        <v>19836</v>
      </c>
      <c r="F42" s="264">
        <f t="shared" si="2"/>
        <v>3797</v>
      </c>
      <c r="G42" s="266">
        <f t="shared" si="1"/>
        <v>0.0131</v>
      </c>
    </row>
    <row r="43" spans="1:7" s="259" customFormat="1" ht="15" customHeight="1">
      <c r="A43" s="330"/>
      <c r="B43" s="326"/>
      <c r="C43" s="263" t="s">
        <v>297</v>
      </c>
      <c r="D43" s="264">
        <v>43281</v>
      </c>
      <c r="E43" s="264">
        <v>43701</v>
      </c>
      <c r="F43" s="264">
        <f t="shared" si="2"/>
        <v>-420</v>
      </c>
      <c r="G43" s="266">
        <f t="shared" si="1"/>
        <v>0.024</v>
      </c>
    </row>
    <row r="44" spans="1:7" s="259" customFormat="1" ht="15" customHeight="1">
      <c r="A44" s="330"/>
      <c r="B44" s="327"/>
      <c r="C44" s="263" t="s">
        <v>298</v>
      </c>
      <c r="D44" s="264">
        <v>144765</v>
      </c>
      <c r="E44" s="264">
        <v>125100</v>
      </c>
      <c r="F44" s="264">
        <f t="shared" si="2"/>
        <v>19665</v>
      </c>
      <c r="G44" s="266">
        <f t="shared" si="1"/>
        <v>0.0802</v>
      </c>
    </row>
    <row r="45" spans="1:7" s="259" customFormat="1" ht="15" customHeight="1" thickBot="1">
      <c r="A45" s="331"/>
      <c r="B45" s="332" t="s">
        <v>300</v>
      </c>
      <c r="C45" s="332"/>
      <c r="D45" s="275">
        <f>D25+D31+D35+D39+D40</f>
        <v>1803242</v>
      </c>
      <c r="E45" s="275">
        <f>E25+E31+E35+E39+E40</f>
        <v>1780490</v>
      </c>
      <c r="F45" s="275">
        <f>F25+F31+F35+F39+F40</f>
        <v>22752</v>
      </c>
      <c r="G45" s="276">
        <f t="shared" si="1"/>
        <v>1</v>
      </c>
    </row>
    <row r="46" s="229" customFormat="1" ht="10.5" customHeight="1">
      <c r="F46" s="229" t="s">
        <v>341</v>
      </c>
    </row>
    <row r="47" s="229" customFormat="1" ht="22.5" customHeight="1">
      <c r="A47" s="231" t="s">
        <v>314</v>
      </c>
    </row>
    <row r="48" s="229" customFormat="1" ht="22.5" customHeight="1"/>
    <row r="49" s="229" customFormat="1" ht="22.5" customHeight="1"/>
  </sheetData>
  <sheetProtection/>
  <mergeCells count="21">
    <mergeCell ref="B24:C24"/>
    <mergeCell ref="B19:B22"/>
    <mergeCell ref="B36:B38"/>
    <mergeCell ref="B32:B34"/>
    <mergeCell ref="B35:C35"/>
    <mergeCell ref="B40:C40"/>
    <mergeCell ref="A1:G1"/>
    <mergeCell ref="B4:C4"/>
    <mergeCell ref="A4:A24"/>
    <mergeCell ref="B14:C14"/>
    <mergeCell ref="B3:C3"/>
    <mergeCell ref="B41:B44"/>
    <mergeCell ref="B8:C8"/>
    <mergeCell ref="B31:C31"/>
    <mergeCell ref="B9:B13"/>
    <mergeCell ref="B5:B7"/>
    <mergeCell ref="A25:A45"/>
    <mergeCell ref="B39:C39"/>
    <mergeCell ref="B26:B30"/>
    <mergeCell ref="B45:C45"/>
    <mergeCell ref="B25:C25"/>
  </mergeCells>
  <printOptions horizontalCentered="1"/>
  <pageMargins left="0.3937007874015748" right="0.3937007874015748" top="0.7480314960629921" bottom="0.31496062992125984" header="0.6299212598425197" footer="0.3937007874015748"/>
  <pageSetup fitToHeight="0" fitToWidth="1" horizontalDpi="600" verticalDpi="600" orientation="portrait" paperSize="9" r:id="rId3"/>
  <headerFooter alignWithMargins="0">
    <oddFooter>&amp;L&amp;8&amp;F&amp;C&amp;8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8"/>
  <sheetViews>
    <sheetView showGridLines="0" zoomScalePageLayoutView="0" workbookViewId="0" topLeftCell="A1">
      <pane ySplit="5" topLeftCell="A30" activePane="bottomLeft" state="frozen"/>
      <selection pane="topLeft" activeCell="D4" sqref="D4"/>
      <selection pane="bottomLeft" activeCell="D82" sqref="D82"/>
    </sheetView>
  </sheetViews>
  <sheetFormatPr defaultColWidth="10.28125" defaultRowHeight="18" customHeight="1"/>
  <cols>
    <col min="1" max="2" width="3.00390625" style="2" customWidth="1"/>
    <col min="3" max="3" width="22.8515625" style="2" customWidth="1"/>
    <col min="4" max="6" width="13.28125" style="2" customWidth="1"/>
    <col min="7" max="7" width="48.57421875" style="2" customWidth="1"/>
    <col min="8" max="8" width="2.00390625" style="2" customWidth="1"/>
    <col min="9" max="9" width="14.421875" style="27" customWidth="1"/>
    <col min="10" max="10" width="13.140625" style="2" customWidth="1"/>
    <col min="11" max="16384" width="10.28125" style="2" customWidth="1"/>
  </cols>
  <sheetData>
    <row r="1" spans="1:9" s="245" customFormat="1" ht="29.25" customHeight="1">
      <c r="A1" s="368" t="s">
        <v>343</v>
      </c>
      <c r="B1" s="368"/>
      <c r="C1" s="368"/>
      <c r="D1" s="368"/>
      <c r="E1" s="368"/>
      <c r="F1" s="368"/>
      <c r="G1" s="368"/>
      <c r="H1" s="368"/>
      <c r="I1" s="368"/>
    </row>
    <row r="2" spans="1:9" ht="12">
      <c r="A2" s="3" t="s">
        <v>10</v>
      </c>
      <c r="B2" s="4"/>
      <c r="C2" s="4"/>
      <c r="D2" s="4"/>
      <c r="E2" s="4"/>
      <c r="F2" s="4"/>
      <c r="G2" s="4"/>
      <c r="H2" s="4"/>
      <c r="I2" s="5"/>
    </row>
    <row r="3" ht="12">
      <c r="I3" s="6" t="s">
        <v>11</v>
      </c>
    </row>
    <row r="4" spans="1:9" ht="18" customHeight="1">
      <c r="A4" s="377" t="s">
        <v>12</v>
      </c>
      <c r="B4" s="378"/>
      <c r="C4" s="379"/>
      <c r="D4" s="375" t="s">
        <v>315</v>
      </c>
      <c r="E4" s="376" t="s">
        <v>321</v>
      </c>
      <c r="F4" s="373" t="s">
        <v>13</v>
      </c>
      <c r="G4" s="369" t="s">
        <v>14</v>
      </c>
      <c r="H4" s="369"/>
      <c r="I4" s="370"/>
    </row>
    <row r="5" spans="1:9" ht="18" customHeight="1">
      <c r="A5" s="7" t="s">
        <v>15</v>
      </c>
      <c r="B5" s="8" t="s">
        <v>16</v>
      </c>
      <c r="C5" s="8" t="s">
        <v>17</v>
      </c>
      <c r="D5" s="371"/>
      <c r="E5" s="374"/>
      <c r="F5" s="374"/>
      <c r="G5" s="371"/>
      <c r="H5" s="371"/>
      <c r="I5" s="372"/>
    </row>
    <row r="6" spans="1:9" ht="18" customHeight="1">
      <c r="A6" s="359" t="s">
        <v>48</v>
      </c>
      <c r="B6" s="360"/>
      <c r="C6" s="361"/>
      <c r="D6" s="114">
        <f>SUM(D7)</f>
        <v>527687</v>
      </c>
      <c r="E6" s="114">
        <f>SUM(E7)</f>
        <v>525524</v>
      </c>
      <c r="F6" s="114">
        <f>SUM(F7)</f>
        <v>2163</v>
      </c>
      <c r="G6" s="115"/>
      <c r="H6" s="116"/>
      <c r="I6" s="117"/>
    </row>
    <row r="7" spans="1:9" ht="18" customHeight="1">
      <c r="A7" s="354"/>
      <c r="B7" s="365" t="s">
        <v>49</v>
      </c>
      <c r="C7" s="366"/>
      <c r="D7" s="118">
        <f>SUM(D8,D16,D12)</f>
        <v>527687</v>
      </c>
      <c r="E7" s="118">
        <f>SUM(E8,E16,E12)</f>
        <v>525524</v>
      </c>
      <c r="F7" s="118">
        <f>SUM(F8,F16,F12)</f>
        <v>2163</v>
      </c>
      <c r="G7" s="119"/>
      <c r="H7" s="120"/>
      <c r="I7" s="121"/>
    </row>
    <row r="8" spans="1:9" ht="12" customHeight="1">
      <c r="A8" s="355"/>
      <c r="B8" s="357"/>
      <c r="C8" s="13" t="s">
        <v>50</v>
      </c>
      <c r="D8" s="12">
        <f>INT(I11/1000)</f>
        <v>7910</v>
      </c>
      <c r="E8" s="12">
        <v>7700</v>
      </c>
      <c r="F8" s="12">
        <f>D8-E8</f>
        <v>210</v>
      </c>
      <c r="G8" s="14"/>
      <c r="H8" s="15"/>
      <c r="I8" s="16"/>
    </row>
    <row r="9" spans="1:9" ht="12" customHeight="1">
      <c r="A9" s="355"/>
      <c r="B9" s="358"/>
      <c r="C9" s="363"/>
      <c r="D9" s="17"/>
      <c r="E9" s="17"/>
      <c r="F9" s="17"/>
      <c r="G9" s="19" t="s">
        <v>51</v>
      </c>
      <c r="H9" s="20"/>
      <c r="I9" s="21"/>
    </row>
    <row r="10" spans="1:9" ht="12" customHeight="1">
      <c r="A10" s="355"/>
      <c r="B10" s="358"/>
      <c r="C10" s="363"/>
      <c r="D10" s="17"/>
      <c r="E10" s="17"/>
      <c r="F10" s="17"/>
      <c r="G10" s="47" t="s">
        <v>493</v>
      </c>
      <c r="H10" s="20" t="s">
        <v>32</v>
      </c>
      <c r="I10" s="21">
        <f>70000*113</f>
        <v>7910000</v>
      </c>
    </row>
    <row r="11" spans="1:9" ht="16.5" customHeight="1">
      <c r="A11" s="355"/>
      <c r="B11" s="358"/>
      <c r="C11" s="364"/>
      <c r="D11" s="22"/>
      <c r="E11" s="22"/>
      <c r="F11" s="22"/>
      <c r="G11" s="51" t="s">
        <v>18</v>
      </c>
      <c r="H11" s="10"/>
      <c r="I11" s="52">
        <f>SUM(I9:I10)</f>
        <v>7910000</v>
      </c>
    </row>
    <row r="12" spans="1:9" ht="18" customHeight="1">
      <c r="A12" s="355"/>
      <c r="B12" s="358"/>
      <c r="C12" s="13" t="s">
        <v>52</v>
      </c>
      <c r="D12" s="12">
        <f>INT(I15/1000)</f>
        <v>519777</v>
      </c>
      <c r="E12" s="12">
        <v>517824</v>
      </c>
      <c r="F12" s="12">
        <f>D12-E12</f>
        <v>1953</v>
      </c>
      <c r="G12" s="14"/>
      <c r="H12" s="15"/>
      <c r="I12" s="16"/>
    </row>
    <row r="13" spans="1:9" ht="12" customHeight="1">
      <c r="A13" s="355"/>
      <c r="B13" s="358"/>
      <c r="C13" s="18"/>
      <c r="D13" s="17"/>
      <c r="E13" s="17"/>
      <c r="F13" s="17"/>
      <c r="G13" s="86" t="s">
        <v>494</v>
      </c>
      <c r="H13" s="20"/>
      <c r="I13" s="21"/>
    </row>
    <row r="14" spans="1:9" ht="12" customHeight="1">
      <c r="A14" s="355"/>
      <c r="B14" s="358"/>
      <c r="C14" s="18"/>
      <c r="D14" s="17"/>
      <c r="E14" s="17"/>
      <c r="F14" s="17"/>
      <c r="G14" s="47" t="s">
        <v>495</v>
      </c>
      <c r="H14" s="20" t="s">
        <v>32</v>
      </c>
      <c r="I14" s="21">
        <v>519776520</v>
      </c>
    </row>
    <row r="15" spans="1:9" ht="18" customHeight="1">
      <c r="A15" s="355"/>
      <c r="B15" s="358"/>
      <c r="C15" s="17"/>
      <c r="D15" s="17"/>
      <c r="E15" s="17"/>
      <c r="F15" s="17"/>
      <c r="G15" s="78" t="s">
        <v>18</v>
      </c>
      <c r="H15" s="15"/>
      <c r="I15" s="79">
        <f>ROUNDUP(I14,-3)</f>
        <v>519777000</v>
      </c>
    </row>
    <row r="16" spans="1:9" ht="16.5" customHeight="1">
      <c r="A16" s="355"/>
      <c r="B16" s="358"/>
      <c r="C16" s="13" t="s">
        <v>54</v>
      </c>
      <c r="D16" s="12">
        <f>INT(I19/1000)</f>
        <v>0</v>
      </c>
      <c r="E16" s="12">
        <v>0</v>
      </c>
      <c r="F16" s="12">
        <f>D16-E16</f>
        <v>0</v>
      </c>
      <c r="G16" s="14"/>
      <c r="H16" s="15"/>
      <c r="I16" s="16"/>
    </row>
    <row r="17" spans="1:9" ht="10.5" customHeight="1">
      <c r="A17" s="355"/>
      <c r="B17" s="358"/>
      <c r="C17" s="363"/>
      <c r="D17" s="17"/>
      <c r="E17" s="17"/>
      <c r="F17" s="17"/>
      <c r="G17" s="19" t="s">
        <v>53</v>
      </c>
      <c r="H17" s="20"/>
      <c r="I17" s="21"/>
    </row>
    <row r="18" spans="1:9" ht="10.5" customHeight="1">
      <c r="A18" s="355"/>
      <c r="B18" s="358"/>
      <c r="C18" s="363"/>
      <c r="D18" s="17"/>
      <c r="E18" s="17"/>
      <c r="F18" s="17"/>
      <c r="G18" s="47" t="s">
        <v>397</v>
      </c>
      <c r="H18" s="20" t="s">
        <v>32</v>
      </c>
      <c r="I18" s="21">
        <v>0</v>
      </c>
    </row>
    <row r="19" spans="1:9" ht="16.5" customHeight="1">
      <c r="A19" s="356"/>
      <c r="B19" s="24"/>
      <c r="C19" s="367"/>
      <c r="D19" s="24"/>
      <c r="E19" s="24"/>
      <c r="F19" s="24"/>
      <c r="G19" s="63" t="s">
        <v>18</v>
      </c>
      <c r="H19" s="49"/>
      <c r="I19" s="64">
        <f>SUM(I17:I18)</f>
        <v>0</v>
      </c>
    </row>
    <row r="20" spans="1:9" ht="18" customHeight="1">
      <c r="A20" s="359" t="s">
        <v>56</v>
      </c>
      <c r="B20" s="360"/>
      <c r="C20" s="361"/>
      <c r="D20" s="114">
        <f>SUM(D21)</f>
        <v>332943</v>
      </c>
      <c r="E20" s="114">
        <f>SUM(E21)</f>
        <v>308494</v>
      </c>
      <c r="F20" s="114">
        <f>SUM(F21)</f>
        <v>24652</v>
      </c>
      <c r="G20" s="115"/>
      <c r="H20" s="116"/>
      <c r="I20" s="117"/>
    </row>
    <row r="21" spans="1:9" ht="18" customHeight="1">
      <c r="A21" s="354"/>
      <c r="B21" s="365" t="s">
        <v>57</v>
      </c>
      <c r="C21" s="366"/>
      <c r="D21" s="118">
        <f>SUM(D22:D30)</f>
        <v>332943</v>
      </c>
      <c r="E21" s="118">
        <f>SUM(E22:E30)</f>
        <v>308494</v>
      </c>
      <c r="F21" s="118">
        <f>SUM(F22,F24,F28,F30)</f>
        <v>24652</v>
      </c>
      <c r="G21" s="119"/>
      <c r="H21" s="120"/>
      <c r="I21" s="121"/>
    </row>
    <row r="22" spans="1:9" ht="18" customHeight="1">
      <c r="A22" s="355"/>
      <c r="B22" s="357"/>
      <c r="C22" s="13" t="s">
        <v>58</v>
      </c>
      <c r="D22" s="12">
        <f>INT(I23/1000)</f>
        <v>23853</v>
      </c>
      <c r="E22" s="12">
        <v>26160</v>
      </c>
      <c r="F22" s="12">
        <f>D22-E22</f>
        <v>-2307</v>
      </c>
      <c r="G22" s="19" t="s">
        <v>94</v>
      </c>
      <c r="H22" s="15"/>
      <c r="I22" s="16">
        <v>23852650</v>
      </c>
    </row>
    <row r="23" spans="1:9" ht="18" customHeight="1">
      <c r="A23" s="355"/>
      <c r="B23" s="358"/>
      <c r="C23" s="110"/>
      <c r="D23" s="22"/>
      <c r="E23" s="22"/>
      <c r="F23" s="22"/>
      <c r="G23" s="51" t="s">
        <v>18</v>
      </c>
      <c r="H23" s="10"/>
      <c r="I23" s="79">
        <f>ROUNDUP(I22,-3)</f>
        <v>23853000</v>
      </c>
    </row>
    <row r="24" spans="1:9" ht="18" customHeight="1">
      <c r="A24" s="355"/>
      <c r="B24" s="357"/>
      <c r="C24" s="13" t="s">
        <v>91</v>
      </c>
      <c r="D24" s="12">
        <f>INT(I25/1000)</f>
        <v>6573</v>
      </c>
      <c r="E24" s="12">
        <v>7296</v>
      </c>
      <c r="F24" s="12">
        <f>D24-E24</f>
        <v>-723</v>
      </c>
      <c r="G24" s="19" t="s">
        <v>95</v>
      </c>
      <c r="H24" s="15"/>
      <c r="I24" s="16">
        <v>6573360</v>
      </c>
    </row>
    <row r="25" spans="1:9" ht="18" customHeight="1">
      <c r="A25" s="355"/>
      <c r="B25" s="358"/>
      <c r="C25" s="110"/>
      <c r="D25" s="22"/>
      <c r="E25" s="246" t="s">
        <v>114</v>
      </c>
      <c r="F25" s="22"/>
      <c r="G25" s="51" t="s">
        <v>18</v>
      </c>
      <c r="H25" s="10"/>
      <c r="I25" s="79">
        <f>ROUNDDOWN(I24,-3)</f>
        <v>6573000</v>
      </c>
    </row>
    <row r="26" spans="1:9" ht="18" customHeight="1">
      <c r="A26" s="355"/>
      <c r="B26" s="357"/>
      <c r="C26" s="13" t="s">
        <v>92</v>
      </c>
      <c r="D26" s="12">
        <f>INT(I27/1000)</f>
        <v>12229</v>
      </c>
      <c r="E26" s="12">
        <v>12432</v>
      </c>
      <c r="F26" s="12">
        <f>D26-E26</f>
        <v>-203</v>
      </c>
      <c r="G26" s="19" t="s">
        <v>96</v>
      </c>
      <c r="H26" s="15"/>
      <c r="I26" s="16">
        <v>12229100</v>
      </c>
    </row>
    <row r="27" spans="1:9" ht="18" customHeight="1">
      <c r="A27" s="355"/>
      <c r="B27" s="358"/>
      <c r="C27" s="110"/>
      <c r="D27" s="22"/>
      <c r="E27" s="22"/>
      <c r="F27" s="22"/>
      <c r="G27" s="51" t="s">
        <v>18</v>
      </c>
      <c r="H27" s="10"/>
      <c r="I27" s="79">
        <f>ROUNDDOWN(I26,-3)</f>
        <v>12229000</v>
      </c>
    </row>
    <row r="28" spans="1:9" ht="18" customHeight="1">
      <c r="A28" s="355"/>
      <c r="B28" s="357"/>
      <c r="C28" s="13" t="s">
        <v>225</v>
      </c>
      <c r="D28" s="12">
        <f>INT(I29/1000)</f>
        <v>23200</v>
      </c>
      <c r="E28" s="12">
        <v>29130</v>
      </c>
      <c r="F28" s="12">
        <f>D28-E28</f>
        <v>-5930</v>
      </c>
      <c r="G28" s="19" t="s">
        <v>224</v>
      </c>
      <c r="H28" s="15"/>
      <c r="I28" s="16">
        <v>23200000</v>
      </c>
    </row>
    <row r="29" spans="1:9" ht="18" customHeight="1">
      <c r="A29" s="355"/>
      <c r="B29" s="358"/>
      <c r="C29" s="110"/>
      <c r="D29" s="22"/>
      <c r="E29" s="22"/>
      <c r="F29" s="22"/>
      <c r="G29" s="51" t="s">
        <v>18</v>
      </c>
      <c r="H29" s="10"/>
      <c r="I29" s="79">
        <f>I28</f>
        <v>23200000</v>
      </c>
    </row>
    <row r="30" spans="1:9" ht="18" customHeight="1">
      <c r="A30" s="355"/>
      <c r="B30" s="357"/>
      <c r="C30" s="13" t="s">
        <v>93</v>
      </c>
      <c r="D30" s="12">
        <f>INT(I31/1000)</f>
        <v>267088</v>
      </c>
      <c r="E30" s="12">
        <v>233476</v>
      </c>
      <c r="F30" s="12">
        <f>D30-E30</f>
        <v>33612</v>
      </c>
      <c r="G30" s="19" t="s">
        <v>97</v>
      </c>
      <c r="H30" s="15"/>
      <c r="I30" s="16">
        <v>267088000</v>
      </c>
    </row>
    <row r="31" spans="1:9" ht="18" customHeight="1">
      <c r="A31" s="355"/>
      <c r="B31" s="358"/>
      <c r="C31" s="110"/>
      <c r="D31" s="22"/>
      <c r="E31" s="22"/>
      <c r="F31" s="22"/>
      <c r="G31" s="51" t="s">
        <v>18</v>
      </c>
      <c r="H31" s="10"/>
      <c r="I31" s="64">
        <f>ROUNDUP(I30,-3)</f>
        <v>267088000</v>
      </c>
    </row>
    <row r="32" spans="1:9" ht="18" customHeight="1">
      <c r="A32" s="351" t="s">
        <v>59</v>
      </c>
      <c r="B32" s="352"/>
      <c r="C32" s="353"/>
      <c r="D32" s="114">
        <f>D33+D46</f>
        <v>651711</v>
      </c>
      <c r="E32" s="114">
        <f>E33+E46</f>
        <v>658976</v>
      </c>
      <c r="F32" s="114">
        <f>F33+F46</f>
        <v>-7265</v>
      </c>
      <c r="G32" s="115"/>
      <c r="H32" s="116"/>
      <c r="I32" s="117"/>
    </row>
    <row r="33" spans="1:9" ht="18" customHeight="1">
      <c r="A33" s="66"/>
      <c r="B33" s="118" t="s">
        <v>55</v>
      </c>
      <c r="C33" s="118"/>
      <c r="D33" s="118">
        <f>D34</f>
        <v>580920</v>
      </c>
      <c r="E33" s="118">
        <f>E34</f>
        <v>583460</v>
      </c>
      <c r="F33" s="118">
        <f>F34</f>
        <v>-2540</v>
      </c>
      <c r="G33" s="119"/>
      <c r="H33" s="120"/>
      <c r="I33" s="121"/>
    </row>
    <row r="34" spans="1:9" ht="18" customHeight="1">
      <c r="A34" s="338"/>
      <c r="B34" s="90"/>
      <c r="C34" s="87" t="s">
        <v>98</v>
      </c>
      <c r="D34" s="12">
        <f>INT(I45/1000)</f>
        <v>580920</v>
      </c>
      <c r="E34" s="12">
        <v>583460</v>
      </c>
      <c r="F34" s="12">
        <f>D34-E34</f>
        <v>-2540</v>
      </c>
      <c r="G34" s="14"/>
      <c r="H34" s="15"/>
      <c r="I34" s="113"/>
    </row>
    <row r="35" spans="1:9" ht="18" customHeight="1">
      <c r="A35" s="338"/>
      <c r="B35" s="90"/>
      <c r="C35" s="67"/>
      <c r="D35" s="17"/>
      <c r="E35" s="17"/>
      <c r="F35" s="17"/>
      <c r="G35" s="86" t="s">
        <v>400</v>
      </c>
      <c r="H35" s="25"/>
      <c r="I35" s="36"/>
    </row>
    <row r="36" spans="1:9" ht="18" customHeight="1">
      <c r="A36" s="338"/>
      <c r="B36" s="90"/>
      <c r="C36" s="67"/>
      <c r="D36" s="17"/>
      <c r="E36" s="17"/>
      <c r="F36" s="17"/>
      <c r="G36" s="50"/>
      <c r="H36" s="25" t="s">
        <v>32</v>
      </c>
      <c r="I36" s="21">
        <v>460505000</v>
      </c>
    </row>
    <row r="37" spans="1:9" ht="18" customHeight="1">
      <c r="A37" s="338"/>
      <c r="B37" s="90"/>
      <c r="C37" s="67"/>
      <c r="D37" s="17"/>
      <c r="E37" s="17"/>
      <c r="F37" s="17"/>
      <c r="G37" s="247" t="s">
        <v>401</v>
      </c>
      <c r="H37" s="25"/>
      <c r="I37" s="36"/>
    </row>
    <row r="38" spans="1:9" ht="18" customHeight="1">
      <c r="A38" s="338"/>
      <c r="B38" s="90"/>
      <c r="C38" s="67"/>
      <c r="D38" s="17"/>
      <c r="E38" s="17"/>
      <c r="F38" s="17"/>
      <c r="G38" s="172" t="s">
        <v>402</v>
      </c>
      <c r="H38" s="25" t="s">
        <v>32</v>
      </c>
      <c r="I38" s="21">
        <v>89415000</v>
      </c>
    </row>
    <row r="39" spans="1:9" ht="18" customHeight="1">
      <c r="A39" s="338"/>
      <c r="B39" s="90"/>
      <c r="C39" s="67"/>
      <c r="D39" s="17"/>
      <c r="E39" s="17"/>
      <c r="F39" s="17"/>
      <c r="G39" s="86" t="s">
        <v>348</v>
      </c>
      <c r="H39" s="25"/>
      <c r="I39" s="36"/>
    </row>
    <row r="40" spans="1:9" ht="18" customHeight="1">
      <c r="A40" s="338"/>
      <c r="B40" s="90"/>
      <c r="C40" s="67"/>
      <c r="D40" s="17"/>
      <c r="E40" s="17"/>
      <c r="F40" s="17"/>
      <c r="G40" s="50"/>
      <c r="H40" s="25" t="s">
        <v>32</v>
      </c>
      <c r="I40" s="21">
        <v>4000000</v>
      </c>
    </row>
    <row r="41" spans="1:9" ht="18" customHeight="1">
      <c r="A41" s="338"/>
      <c r="B41" s="90"/>
      <c r="C41" s="67"/>
      <c r="D41" s="17"/>
      <c r="E41" s="17"/>
      <c r="F41" s="17"/>
      <c r="G41" s="86" t="s">
        <v>403</v>
      </c>
      <c r="H41" s="25"/>
      <c r="I41" s="36"/>
    </row>
    <row r="42" spans="1:9" ht="18" customHeight="1">
      <c r="A42" s="338"/>
      <c r="B42" s="90"/>
      <c r="C42" s="67"/>
      <c r="D42" s="17"/>
      <c r="E42" s="17"/>
      <c r="F42" s="17"/>
      <c r="G42" s="50"/>
      <c r="H42" s="25" t="s">
        <v>32</v>
      </c>
      <c r="I42" s="249">
        <v>3000000</v>
      </c>
    </row>
    <row r="43" spans="1:9" ht="18" customHeight="1">
      <c r="A43" s="338"/>
      <c r="B43" s="90"/>
      <c r="C43" s="67"/>
      <c r="D43" s="17"/>
      <c r="E43" s="17"/>
      <c r="F43" s="17"/>
      <c r="G43" s="86" t="s">
        <v>404</v>
      </c>
      <c r="H43" s="25"/>
      <c r="I43" s="36"/>
    </row>
    <row r="44" spans="1:9" ht="18" customHeight="1">
      <c r="A44" s="338"/>
      <c r="B44" s="90"/>
      <c r="C44" s="67"/>
      <c r="D44" s="17"/>
      <c r="E44" s="17"/>
      <c r="F44" s="17"/>
      <c r="G44" s="172" t="s">
        <v>402</v>
      </c>
      <c r="H44" s="25" t="s">
        <v>32</v>
      </c>
      <c r="I44" s="21">
        <v>24000000</v>
      </c>
    </row>
    <row r="45" spans="1:9" ht="18" customHeight="1">
      <c r="A45" s="338"/>
      <c r="B45" s="90"/>
      <c r="C45" s="67"/>
      <c r="D45" s="17"/>
      <c r="E45" s="17"/>
      <c r="F45" s="17"/>
      <c r="G45" s="78" t="s">
        <v>18</v>
      </c>
      <c r="H45" s="15"/>
      <c r="I45" s="79">
        <f>SUM(I34:I44)</f>
        <v>580920000</v>
      </c>
    </row>
    <row r="46" spans="1:9" ht="18" customHeight="1">
      <c r="A46" s="338"/>
      <c r="B46" s="90"/>
      <c r="C46" s="87" t="s">
        <v>346</v>
      </c>
      <c r="D46" s="12">
        <f>INT(I49/1000)</f>
        <v>70791</v>
      </c>
      <c r="E46" s="12">
        <v>75516</v>
      </c>
      <c r="F46" s="12">
        <f>D46-E46</f>
        <v>-4725</v>
      </c>
      <c r="G46" s="14"/>
      <c r="H46" s="15"/>
      <c r="I46" s="113"/>
    </row>
    <row r="47" spans="1:9" ht="18" customHeight="1">
      <c r="A47" s="338"/>
      <c r="B47" s="90"/>
      <c r="C47" s="67"/>
      <c r="D47" s="17"/>
      <c r="E47" s="17"/>
      <c r="F47" s="17"/>
      <c r="G47" s="247" t="s">
        <v>347</v>
      </c>
      <c r="H47" s="25"/>
      <c r="I47" s="21"/>
    </row>
    <row r="48" spans="1:9" ht="18" customHeight="1">
      <c r="A48" s="338"/>
      <c r="B48" s="90"/>
      <c r="C48" s="67"/>
      <c r="D48" s="17"/>
      <c r="E48" s="17"/>
      <c r="F48" s="17"/>
      <c r="G48" s="172" t="s">
        <v>499</v>
      </c>
      <c r="H48" s="25" t="s">
        <v>32</v>
      </c>
      <c r="I48" s="21">
        <v>70790850</v>
      </c>
    </row>
    <row r="49" spans="1:9" ht="18" customHeight="1">
      <c r="A49" s="339"/>
      <c r="B49" s="111"/>
      <c r="C49" s="112"/>
      <c r="D49" s="24"/>
      <c r="E49" s="24"/>
      <c r="F49" s="24"/>
      <c r="G49" s="63" t="s">
        <v>18</v>
      </c>
      <c r="H49" s="49"/>
      <c r="I49" s="64">
        <f>ROUNDUP(I48,-3)</f>
        <v>70791000</v>
      </c>
    </row>
    <row r="50" spans="1:9" ht="18" customHeight="1">
      <c r="A50" s="351" t="s">
        <v>60</v>
      </c>
      <c r="B50" s="352"/>
      <c r="C50" s="353"/>
      <c r="D50" s="114">
        <f>D51</f>
        <v>203</v>
      </c>
      <c r="E50" s="114">
        <f>E51</f>
        <v>200</v>
      </c>
      <c r="F50" s="114">
        <f>F51</f>
        <v>3</v>
      </c>
      <c r="G50" s="115"/>
      <c r="H50" s="116"/>
      <c r="I50" s="117"/>
    </row>
    <row r="51" spans="1:9" ht="18" customHeight="1">
      <c r="A51" s="66"/>
      <c r="B51" s="118" t="s">
        <v>61</v>
      </c>
      <c r="C51" s="118"/>
      <c r="D51" s="118">
        <f>D52</f>
        <v>203</v>
      </c>
      <c r="E51" s="118">
        <f>SUM(E52:E55)</f>
        <v>200</v>
      </c>
      <c r="F51" s="118">
        <f>SUM(F52:F55)</f>
        <v>3</v>
      </c>
      <c r="G51" s="119"/>
      <c r="H51" s="120"/>
      <c r="I51" s="121"/>
    </row>
    <row r="52" spans="1:9" ht="14.25" customHeight="1">
      <c r="A52" s="66"/>
      <c r="B52" s="357"/>
      <c r="C52" s="12" t="s">
        <v>62</v>
      </c>
      <c r="D52" s="12">
        <f>INT(I54/1000)</f>
        <v>203</v>
      </c>
      <c r="E52" s="12">
        <v>200</v>
      </c>
      <c r="F52" s="12">
        <f>+D52-E52</f>
        <v>3</v>
      </c>
      <c r="G52" s="14"/>
      <c r="H52" s="15"/>
      <c r="I52" s="16"/>
    </row>
    <row r="53" spans="1:9" ht="14.25" customHeight="1">
      <c r="A53" s="66"/>
      <c r="B53" s="358"/>
      <c r="C53" s="17"/>
      <c r="D53" s="17"/>
      <c r="E53" s="17"/>
      <c r="F53" s="17"/>
      <c r="G53" s="19" t="s">
        <v>63</v>
      </c>
      <c r="H53" s="25"/>
      <c r="I53" s="21"/>
    </row>
    <row r="54" spans="1:9" ht="14.25" customHeight="1">
      <c r="A54" s="66"/>
      <c r="B54" s="358"/>
      <c r="C54" s="17"/>
      <c r="D54" s="17"/>
      <c r="E54" s="17"/>
      <c r="F54" s="17"/>
      <c r="G54" s="50"/>
      <c r="H54" s="48" t="s">
        <v>34</v>
      </c>
      <c r="I54" s="21">
        <v>203046</v>
      </c>
    </row>
    <row r="55" spans="1:9" ht="18" customHeight="1">
      <c r="A55" s="66"/>
      <c r="B55" s="362"/>
      <c r="C55" s="67"/>
      <c r="D55" s="24"/>
      <c r="E55" s="24"/>
      <c r="F55" s="24"/>
      <c r="G55" s="63" t="s">
        <v>18</v>
      </c>
      <c r="H55" s="49"/>
      <c r="I55" s="64">
        <f>ROUNDDOWN(I54,-3)</f>
        <v>203000</v>
      </c>
    </row>
    <row r="56" spans="1:9" ht="18" customHeight="1">
      <c r="A56" s="351" t="s">
        <v>85</v>
      </c>
      <c r="B56" s="352"/>
      <c r="C56" s="353"/>
      <c r="D56" s="114">
        <f>D57</f>
        <v>288036</v>
      </c>
      <c r="E56" s="114">
        <f>E57</f>
        <v>284337</v>
      </c>
      <c r="F56" s="114">
        <f>F57</f>
        <v>3699</v>
      </c>
      <c r="G56" s="115"/>
      <c r="H56" s="116"/>
      <c r="I56" s="117"/>
    </row>
    <row r="57" spans="1:9" ht="18" customHeight="1">
      <c r="A57" s="66"/>
      <c r="B57" s="118" t="s">
        <v>64</v>
      </c>
      <c r="C57" s="118"/>
      <c r="D57" s="118">
        <f>D58+D62+D66+D74</f>
        <v>288036</v>
      </c>
      <c r="E57" s="118">
        <f>E58+E62+E66+E74</f>
        <v>284337</v>
      </c>
      <c r="F57" s="118">
        <f>F58+F62+F66+F74</f>
        <v>3699</v>
      </c>
      <c r="G57" s="119"/>
      <c r="H57" s="120"/>
      <c r="I57" s="121"/>
    </row>
    <row r="58" spans="1:9" ht="18" customHeight="1">
      <c r="A58" s="338"/>
      <c r="B58" s="347"/>
      <c r="C58" s="87" t="s">
        <v>405</v>
      </c>
      <c r="D58" s="17">
        <f>INT(I61/1000)</f>
        <v>76357</v>
      </c>
      <c r="E58" s="17">
        <v>95700</v>
      </c>
      <c r="F58" s="17">
        <f>+D58-E58</f>
        <v>-19343</v>
      </c>
      <c r="G58" s="19"/>
      <c r="H58" s="20"/>
      <c r="I58" s="21"/>
    </row>
    <row r="59" spans="1:9" ht="18" customHeight="1">
      <c r="A59" s="338"/>
      <c r="B59" s="347"/>
      <c r="C59" s="67"/>
      <c r="D59" s="17"/>
      <c r="E59" s="17"/>
      <c r="F59" s="17"/>
      <c r="G59" s="86" t="s">
        <v>500</v>
      </c>
      <c r="H59" s="48" t="s">
        <v>32</v>
      </c>
      <c r="I59" s="171">
        <v>76357000</v>
      </c>
    </row>
    <row r="60" spans="1:9" ht="18" customHeight="1">
      <c r="A60" s="338"/>
      <c r="B60" s="347"/>
      <c r="C60" s="67"/>
      <c r="D60" s="17"/>
      <c r="E60" s="17"/>
      <c r="F60" s="17"/>
      <c r="G60" s="86" t="s">
        <v>114</v>
      </c>
      <c r="H60" s="248" t="s">
        <v>114</v>
      </c>
      <c r="I60" s="249" t="s">
        <v>114</v>
      </c>
    </row>
    <row r="61" spans="1:9" ht="18" customHeight="1">
      <c r="A61" s="338"/>
      <c r="B61" s="347"/>
      <c r="C61" s="69"/>
      <c r="D61" s="22"/>
      <c r="E61" s="22"/>
      <c r="F61" s="22"/>
      <c r="G61" s="51" t="s">
        <v>18</v>
      </c>
      <c r="H61" s="10"/>
      <c r="I61" s="52">
        <f>SUM(I58:I60)</f>
        <v>76357000</v>
      </c>
    </row>
    <row r="62" spans="1:9" ht="18" customHeight="1">
      <c r="A62" s="76"/>
      <c r="B62" s="77"/>
      <c r="C62" s="80" t="s">
        <v>406</v>
      </c>
      <c r="D62" s="12">
        <f>INT(I65/1000)</f>
        <v>23633</v>
      </c>
      <c r="E62" s="12">
        <v>19836</v>
      </c>
      <c r="F62" s="12">
        <f>+D62-E62</f>
        <v>3797</v>
      </c>
      <c r="G62" s="14"/>
      <c r="H62" s="15"/>
      <c r="I62" s="16"/>
    </row>
    <row r="63" spans="1:9" ht="18" customHeight="1">
      <c r="A63" s="76"/>
      <c r="B63" s="77"/>
      <c r="C63" s="17"/>
      <c r="D63" s="17"/>
      <c r="E63" s="17"/>
      <c r="F63" s="17"/>
      <c r="G63" s="86" t="s">
        <v>349</v>
      </c>
      <c r="H63" s="25"/>
      <c r="I63" s="21"/>
    </row>
    <row r="64" spans="1:9" ht="18" customHeight="1">
      <c r="A64" s="76"/>
      <c r="B64" s="77"/>
      <c r="C64" s="17"/>
      <c r="D64" s="17"/>
      <c r="E64" s="17"/>
      <c r="F64" s="17"/>
      <c r="G64" s="172" t="s">
        <v>506</v>
      </c>
      <c r="H64" s="48" t="s">
        <v>32</v>
      </c>
      <c r="I64" s="21">
        <v>23633000</v>
      </c>
    </row>
    <row r="65" spans="1:9" ht="18" customHeight="1">
      <c r="A65" s="76"/>
      <c r="B65" s="77"/>
      <c r="C65" s="22"/>
      <c r="D65" s="22"/>
      <c r="E65" s="22"/>
      <c r="F65" s="22"/>
      <c r="G65" s="51" t="s">
        <v>18</v>
      </c>
      <c r="H65" s="10"/>
      <c r="I65" s="52">
        <f>SUM(I64:I64)</f>
        <v>23633000</v>
      </c>
    </row>
    <row r="66" spans="1:9" ht="18" customHeight="1">
      <c r="A66" s="76"/>
      <c r="B66" s="77"/>
      <c r="C66" s="80" t="s">
        <v>99</v>
      </c>
      <c r="D66" s="17">
        <f>INT(I73/1000)</f>
        <v>43281</v>
      </c>
      <c r="E66" s="17">
        <v>43701</v>
      </c>
      <c r="F66" s="17">
        <f>+D66-E66</f>
        <v>-420</v>
      </c>
      <c r="G66" s="19"/>
      <c r="H66" s="25"/>
      <c r="I66" s="21"/>
    </row>
    <row r="67" spans="1:9" ht="16.5" customHeight="1">
      <c r="A67" s="76"/>
      <c r="B67" s="77"/>
      <c r="C67" s="17"/>
      <c r="D67" s="17"/>
      <c r="E67" s="17"/>
      <c r="F67" s="17"/>
      <c r="G67" s="19" t="s">
        <v>100</v>
      </c>
      <c r="H67" s="25"/>
      <c r="I67" s="21"/>
    </row>
    <row r="68" spans="1:9" ht="16.5" customHeight="1">
      <c r="A68" s="76"/>
      <c r="B68" s="77"/>
      <c r="C68" s="17"/>
      <c r="D68" s="17"/>
      <c r="E68" s="17"/>
      <c r="F68" s="17"/>
      <c r="G68" s="86" t="s">
        <v>502</v>
      </c>
      <c r="H68" s="48" t="s">
        <v>32</v>
      </c>
      <c r="I68" s="21">
        <v>6510000</v>
      </c>
    </row>
    <row r="69" spans="1:9" ht="16.5" customHeight="1">
      <c r="A69" s="76"/>
      <c r="B69" s="77"/>
      <c r="C69" s="17"/>
      <c r="D69" s="17"/>
      <c r="E69" s="17"/>
      <c r="F69" s="17"/>
      <c r="G69" s="86" t="s">
        <v>501</v>
      </c>
      <c r="H69" s="48" t="s">
        <v>34</v>
      </c>
      <c r="I69" s="21">
        <v>816000</v>
      </c>
    </row>
    <row r="70" spans="1:9" ht="16.5" customHeight="1">
      <c r="A70" s="76"/>
      <c r="B70" s="77"/>
      <c r="C70" s="17"/>
      <c r="D70" s="17"/>
      <c r="E70" s="17"/>
      <c r="F70" s="17"/>
      <c r="G70" s="19" t="s">
        <v>101</v>
      </c>
      <c r="H70" s="25"/>
      <c r="I70" s="21"/>
    </row>
    <row r="71" spans="1:9" ht="17.25" customHeight="1">
      <c r="A71" s="76"/>
      <c r="B71" s="77"/>
      <c r="C71" s="17"/>
      <c r="D71" s="17"/>
      <c r="E71" s="17"/>
      <c r="F71" s="17"/>
      <c r="G71" s="86" t="s">
        <v>505</v>
      </c>
      <c r="H71" s="48" t="s">
        <v>34</v>
      </c>
      <c r="I71" s="21">
        <v>35955000</v>
      </c>
    </row>
    <row r="72" spans="1:9" ht="16.5" customHeight="1">
      <c r="A72" s="76"/>
      <c r="B72" s="77"/>
      <c r="C72" s="17"/>
      <c r="D72" s="17"/>
      <c r="E72" s="17"/>
      <c r="F72" s="17"/>
      <c r="G72" s="86"/>
      <c r="H72" s="48"/>
      <c r="I72" s="21"/>
    </row>
    <row r="73" spans="1:9" ht="18" customHeight="1">
      <c r="A73" s="76"/>
      <c r="B73" s="77"/>
      <c r="C73" s="17"/>
      <c r="D73" s="22"/>
      <c r="E73" s="22"/>
      <c r="F73" s="22"/>
      <c r="G73" s="51" t="s">
        <v>18</v>
      </c>
      <c r="H73" s="10"/>
      <c r="I73" s="52">
        <f>SUM(I68:I72)</f>
        <v>43281000</v>
      </c>
    </row>
    <row r="74" spans="1:9" ht="18" customHeight="1">
      <c r="A74" s="76"/>
      <c r="B74" s="77"/>
      <c r="C74" s="80" t="s">
        <v>102</v>
      </c>
      <c r="D74" s="17">
        <f>INT(I78/1000)</f>
        <v>144765</v>
      </c>
      <c r="E74" s="17">
        <v>125100</v>
      </c>
      <c r="F74" s="17">
        <f>+D74-E74</f>
        <v>19665</v>
      </c>
      <c r="G74" s="19"/>
      <c r="H74" s="25"/>
      <c r="I74" s="21"/>
    </row>
    <row r="75" spans="1:9" ht="16.5" customHeight="1">
      <c r="A75" s="76"/>
      <c r="B75" s="77"/>
      <c r="C75" s="17"/>
      <c r="D75" s="17"/>
      <c r="E75" s="17"/>
      <c r="F75" s="17"/>
      <c r="G75" s="86" t="s">
        <v>503</v>
      </c>
      <c r="H75" s="48" t="s">
        <v>34</v>
      </c>
      <c r="I75" s="21">
        <v>117569000</v>
      </c>
    </row>
    <row r="76" spans="1:9" ht="16.5" customHeight="1">
      <c r="A76" s="76"/>
      <c r="B76" s="77"/>
      <c r="C76" s="17"/>
      <c r="D76" s="17"/>
      <c r="E76" s="17"/>
      <c r="F76" s="17"/>
      <c r="G76" s="86" t="s">
        <v>504</v>
      </c>
      <c r="H76" s="48" t="s">
        <v>34</v>
      </c>
      <c r="I76" s="21">
        <v>20960000</v>
      </c>
    </row>
    <row r="77" spans="1:9" ht="17.25" customHeight="1">
      <c r="A77" s="76"/>
      <c r="B77" s="77"/>
      <c r="C77" s="17"/>
      <c r="D77" s="17"/>
      <c r="E77" s="17"/>
      <c r="F77" s="17"/>
      <c r="G77" s="86" t="s">
        <v>507</v>
      </c>
      <c r="H77" s="48" t="s">
        <v>34</v>
      </c>
      <c r="I77" s="21">
        <v>6236000</v>
      </c>
    </row>
    <row r="78" spans="1:9" ht="18" customHeight="1">
      <c r="A78" s="76"/>
      <c r="B78" s="77"/>
      <c r="C78" s="24"/>
      <c r="D78" s="22"/>
      <c r="E78" s="22"/>
      <c r="F78" s="22"/>
      <c r="G78" s="51" t="s">
        <v>18</v>
      </c>
      <c r="H78" s="10"/>
      <c r="I78" s="52">
        <f>SUM(I75:I77)</f>
        <v>144765000</v>
      </c>
    </row>
    <row r="79" spans="1:9" ht="18" customHeight="1">
      <c r="A79" s="351" t="s">
        <v>65</v>
      </c>
      <c r="B79" s="352"/>
      <c r="C79" s="353"/>
      <c r="D79" s="114">
        <f>SUM(D80+D83)</f>
        <v>2662</v>
      </c>
      <c r="E79" s="114">
        <f>SUM(E80+E83)</f>
        <v>2959</v>
      </c>
      <c r="F79" s="114">
        <f>SUM(F83,F81)</f>
        <v>-397</v>
      </c>
      <c r="G79" s="115"/>
      <c r="H79" s="116"/>
      <c r="I79" s="117"/>
    </row>
    <row r="80" spans="1:9" ht="18" customHeight="1">
      <c r="A80" s="345"/>
      <c r="B80" s="348" t="s">
        <v>66</v>
      </c>
      <c r="C80" s="344"/>
      <c r="D80" s="118">
        <f>SUM(D81)</f>
        <v>1994</v>
      </c>
      <c r="E80" s="118">
        <f>SUM(E81)</f>
        <v>2759</v>
      </c>
      <c r="F80" s="118">
        <f>SUM(F81)</f>
        <v>-765</v>
      </c>
      <c r="G80" s="119"/>
      <c r="H80" s="120"/>
      <c r="I80" s="121"/>
    </row>
    <row r="81" spans="1:9" ht="13.5" customHeight="1">
      <c r="A81" s="346"/>
      <c r="B81" s="349"/>
      <c r="C81" s="13" t="s">
        <v>67</v>
      </c>
      <c r="D81" s="12">
        <f>INT(I82/1000)+1</f>
        <v>1994</v>
      </c>
      <c r="E81" s="12">
        <v>2759</v>
      </c>
      <c r="F81" s="12">
        <f>+D81-E81</f>
        <v>-765</v>
      </c>
      <c r="G81" s="14"/>
      <c r="H81" s="15"/>
      <c r="I81" s="16"/>
    </row>
    <row r="82" spans="1:9" ht="13.5" customHeight="1">
      <c r="A82" s="346"/>
      <c r="B82" s="350"/>
      <c r="C82" s="67"/>
      <c r="D82" s="17"/>
      <c r="E82" s="17"/>
      <c r="F82" s="17"/>
      <c r="G82" s="19" t="s">
        <v>68</v>
      </c>
      <c r="H82" s="20"/>
      <c r="I82" s="21">
        <v>1993574</v>
      </c>
    </row>
    <row r="83" spans="1:9" ht="18" customHeight="1">
      <c r="A83" s="345"/>
      <c r="B83" s="343" t="s">
        <v>103</v>
      </c>
      <c r="C83" s="344"/>
      <c r="D83" s="118">
        <f>SUM(D84:D85)</f>
        <v>668</v>
      </c>
      <c r="E83" s="118">
        <f>SUM(E85)</f>
        <v>200</v>
      </c>
      <c r="F83" s="118">
        <f>SUM(F85)</f>
        <v>368</v>
      </c>
      <c r="G83" s="119"/>
      <c r="H83" s="120"/>
      <c r="I83" s="121"/>
    </row>
    <row r="84" spans="1:9" ht="19.5" customHeight="1">
      <c r="A84" s="346"/>
      <c r="B84" s="12"/>
      <c r="C84" s="13" t="s">
        <v>104</v>
      </c>
      <c r="D84" s="12">
        <f>INT(I84/1000)</f>
        <v>100</v>
      </c>
      <c r="E84" s="12">
        <v>0</v>
      </c>
      <c r="F84" s="12">
        <f>+D84-E84</f>
        <v>100</v>
      </c>
      <c r="G84" s="86" t="s">
        <v>497</v>
      </c>
      <c r="H84" s="15"/>
      <c r="I84" s="16">
        <v>100000</v>
      </c>
    </row>
    <row r="85" spans="1:9" ht="19.5" customHeight="1">
      <c r="A85" s="346"/>
      <c r="B85" s="17"/>
      <c r="C85" s="418" t="s">
        <v>496</v>
      </c>
      <c r="D85" s="12">
        <f>INT(I87/1000)</f>
        <v>568</v>
      </c>
      <c r="E85" s="12">
        <v>200</v>
      </c>
      <c r="F85" s="12">
        <f>+D85-E85</f>
        <v>368</v>
      </c>
      <c r="G85" s="419" t="s">
        <v>407</v>
      </c>
      <c r="H85" s="15"/>
      <c r="I85" s="16">
        <v>100000</v>
      </c>
    </row>
    <row r="86" spans="1:9" ht="19.5" customHeight="1">
      <c r="A86" s="145"/>
      <c r="B86" s="17"/>
      <c r="C86" s="420"/>
      <c r="D86" s="17"/>
      <c r="E86" s="17"/>
      <c r="F86" s="17"/>
      <c r="G86" s="86" t="s">
        <v>498</v>
      </c>
      <c r="H86" s="25"/>
      <c r="I86" s="21">
        <v>468010</v>
      </c>
    </row>
    <row r="87" spans="1:9" ht="18" customHeight="1">
      <c r="A87" s="76"/>
      <c r="B87" s="421"/>
      <c r="C87" s="24"/>
      <c r="D87" s="22"/>
      <c r="E87" s="22"/>
      <c r="F87" s="22"/>
      <c r="G87" s="63" t="s">
        <v>18</v>
      </c>
      <c r="H87" s="10"/>
      <c r="I87" s="52">
        <f>SUM(I85:I86)</f>
        <v>568010</v>
      </c>
    </row>
    <row r="88" spans="1:9" ht="18" customHeight="1">
      <c r="A88" s="340" t="s">
        <v>20</v>
      </c>
      <c r="B88" s="341"/>
      <c r="C88" s="342"/>
      <c r="D88" s="162">
        <f>SUM(D79+D56+D50+D32+D20+D6)</f>
        <v>1803242</v>
      </c>
      <c r="E88" s="162">
        <f>SUM(E79+E56+E50+E32+E20+E6)</f>
        <v>1780490</v>
      </c>
      <c r="F88" s="162">
        <f>D88-E88</f>
        <v>22752</v>
      </c>
      <c r="G88" s="163"/>
      <c r="H88" s="164"/>
      <c r="I88" s="165"/>
    </row>
  </sheetData>
  <sheetProtection/>
  <mergeCells count="35">
    <mergeCell ref="A21:A31"/>
    <mergeCell ref="B21:C21"/>
    <mergeCell ref="B30:B31"/>
    <mergeCell ref="B22:B23"/>
    <mergeCell ref="B24:B25"/>
    <mergeCell ref="B28:B29"/>
    <mergeCell ref="B26:B27"/>
    <mergeCell ref="C17:C19"/>
    <mergeCell ref="A1:I1"/>
    <mergeCell ref="G4:I5"/>
    <mergeCell ref="A6:C6"/>
    <mergeCell ref="F4:F5"/>
    <mergeCell ref="D4:D5"/>
    <mergeCell ref="E4:E5"/>
    <mergeCell ref="A4:C4"/>
    <mergeCell ref="A79:C79"/>
    <mergeCell ref="A7:A19"/>
    <mergeCell ref="B8:B18"/>
    <mergeCell ref="A56:C56"/>
    <mergeCell ref="A20:C20"/>
    <mergeCell ref="B52:B55"/>
    <mergeCell ref="A50:C50"/>
    <mergeCell ref="A32:C32"/>
    <mergeCell ref="C9:C11"/>
    <mergeCell ref="B7:C7"/>
    <mergeCell ref="A46:A49"/>
    <mergeCell ref="A88:C88"/>
    <mergeCell ref="B83:C83"/>
    <mergeCell ref="A83:A85"/>
    <mergeCell ref="A34:A45"/>
    <mergeCell ref="A58:A61"/>
    <mergeCell ref="B58:B61"/>
    <mergeCell ref="A80:A82"/>
    <mergeCell ref="B80:C80"/>
    <mergeCell ref="B81:B82"/>
  </mergeCells>
  <printOptions horizontalCentered="1"/>
  <pageMargins left="0" right="0" top="0.9055118110236221" bottom="0.5905511811023623" header="0.5511811023622047" footer="0.2362204724409449"/>
  <pageSetup fitToHeight="0" horizontalDpi="600" verticalDpi="600" orientation="portrait" paperSize="9" scale="67" r:id="rId3"/>
  <headerFooter alignWithMargins="0">
    <oddFooter>&amp;C&amp;8- &amp;P -</oddFooter>
  </headerFooter>
  <rowBreaks count="1" manualBreakCount="1">
    <brk id="55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0"/>
  <sheetViews>
    <sheetView showGridLines="0" zoomScalePageLayoutView="0" workbookViewId="0" topLeftCell="A1">
      <pane ySplit="4" topLeftCell="A259" activePane="bottomLeft" state="frozen"/>
      <selection pane="topLeft" activeCell="D4" sqref="D4"/>
      <selection pane="bottomLeft" activeCell="S171" sqref="S171"/>
    </sheetView>
  </sheetViews>
  <sheetFormatPr defaultColWidth="10.28125" defaultRowHeight="18" customHeight="1"/>
  <cols>
    <col min="1" max="2" width="3.00390625" style="2" customWidth="1"/>
    <col min="3" max="3" width="19.7109375" style="2" customWidth="1"/>
    <col min="4" max="6" width="11.00390625" style="2" customWidth="1"/>
    <col min="7" max="7" width="22.7109375" style="27" customWidth="1"/>
    <col min="8" max="8" width="11.57421875" style="2" customWidth="1"/>
    <col min="9" max="9" width="3.00390625" style="2" customWidth="1"/>
    <col min="10" max="10" width="1.8515625" style="2" customWidth="1"/>
    <col min="11" max="11" width="5.28125" style="2" customWidth="1"/>
    <col min="12" max="12" width="4.7109375" style="45" customWidth="1"/>
    <col min="13" max="13" width="1.8515625" style="2" customWidth="1"/>
    <col min="14" max="14" width="5.00390625" style="2" customWidth="1"/>
    <col min="15" max="15" width="4.00390625" style="45" customWidth="1"/>
    <col min="16" max="16" width="4.421875" style="2" customWidth="1"/>
    <col min="17" max="17" width="4.00390625" style="45" customWidth="1"/>
    <col min="18" max="18" width="2.00390625" style="2" customWidth="1"/>
    <col min="19" max="19" width="13.140625" style="62" customWidth="1"/>
    <col min="20" max="16384" width="10.28125" style="2" customWidth="1"/>
  </cols>
  <sheetData>
    <row r="1" spans="1:19" ht="21" customHeight="1">
      <c r="A1" s="3" t="s">
        <v>21</v>
      </c>
      <c r="B1" s="4"/>
      <c r="C1" s="4"/>
      <c r="D1" s="4"/>
      <c r="E1" s="4"/>
      <c r="F1" s="4"/>
      <c r="G1" s="5"/>
      <c r="H1" s="1"/>
      <c r="I1" s="1"/>
      <c r="J1" s="1"/>
      <c r="K1" s="1"/>
      <c r="M1" s="1"/>
      <c r="N1" s="1"/>
      <c r="P1" s="1"/>
      <c r="R1" s="1"/>
      <c r="S1" s="57"/>
    </row>
    <row r="2" spans="1:19" ht="18" customHeight="1">
      <c r="A2" s="28"/>
      <c r="S2" s="58" t="s">
        <v>11</v>
      </c>
    </row>
    <row r="3" spans="1:19" ht="18" customHeight="1">
      <c r="A3" s="377" t="s">
        <v>12</v>
      </c>
      <c r="B3" s="378"/>
      <c r="C3" s="378"/>
      <c r="D3" s="400" t="s">
        <v>315</v>
      </c>
      <c r="E3" s="376" t="s">
        <v>321</v>
      </c>
      <c r="F3" s="408" t="s">
        <v>248</v>
      </c>
      <c r="G3" s="391" t="s">
        <v>14</v>
      </c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2"/>
    </row>
    <row r="4" spans="1:19" ht="18" customHeight="1">
      <c r="A4" s="7" t="s">
        <v>15</v>
      </c>
      <c r="B4" s="8" t="s">
        <v>16</v>
      </c>
      <c r="C4" s="37" t="s">
        <v>17</v>
      </c>
      <c r="D4" s="401"/>
      <c r="E4" s="374"/>
      <c r="F4" s="409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4"/>
    </row>
    <row r="5" spans="1:19" ht="18" customHeight="1">
      <c r="A5" s="404" t="s">
        <v>33</v>
      </c>
      <c r="B5" s="405"/>
      <c r="C5" s="405"/>
      <c r="D5" s="129">
        <f>D6+D18+D55+D64+D97</f>
        <v>682995</v>
      </c>
      <c r="E5" s="129">
        <f>E6+E18+E55+E64+E97</f>
        <v>659803</v>
      </c>
      <c r="F5" s="129">
        <f>F6+F18+F55+F64+F97</f>
        <v>22822</v>
      </c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6"/>
    </row>
    <row r="6" spans="1:19" ht="18" customHeight="1">
      <c r="A6" s="11"/>
      <c r="B6" s="406" t="s">
        <v>69</v>
      </c>
      <c r="C6" s="407"/>
      <c r="D6" s="132">
        <f>SUM(D7+D11+D15)</f>
        <v>255341</v>
      </c>
      <c r="E6" s="132">
        <f>SUM(E7+E11+E15)</f>
        <v>218368</v>
      </c>
      <c r="F6" s="133">
        <f>F7+F11+F15</f>
        <v>36973</v>
      </c>
      <c r="G6" s="397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9"/>
    </row>
    <row r="7" spans="1:19" ht="18" customHeight="1">
      <c r="A7" s="11"/>
      <c r="B7" s="12"/>
      <c r="C7" s="38" t="s">
        <v>70</v>
      </c>
      <c r="D7" s="9">
        <f>INT(S10/1000)</f>
        <v>163980</v>
      </c>
      <c r="E7" s="12">
        <v>144555</v>
      </c>
      <c r="F7" s="43">
        <f>+D7-E7</f>
        <v>19425</v>
      </c>
      <c r="G7" s="40"/>
      <c r="H7" s="15"/>
      <c r="I7" s="15"/>
      <c r="J7" s="15"/>
      <c r="K7" s="15"/>
      <c r="L7" s="32"/>
      <c r="M7" s="15"/>
      <c r="N7" s="15"/>
      <c r="O7" s="32"/>
      <c r="P7" s="15"/>
      <c r="Q7" s="32"/>
      <c r="R7" s="15"/>
      <c r="S7" s="59"/>
    </row>
    <row r="8" spans="1:19" ht="18" customHeight="1">
      <c r="A8" s="11"/>
      <c r="B8" s="17"/>
      <c r="C8" s="39"/>
      <c r="D8" s="11"/>
      <c r="E8" s="17"/>
      <c r="F8" s="44"/>
      <c r="G8" s="41" t="s">
        <v>71</v>
      </c>
      <c r="H8" s="29">
        <v>3178125</v>
      </c>
      <c r="I8" s="30" t="s">
        <v>4</v>
      </c>
      <c r="J8" s="30" t="s">
        <v>1</v>
      </c>
      <c r="K8" s="29">
        <v>4</v>
      </c>
      <c r="L8" s="46" t="s">
        <v>0</v>
      </c>
      <c r="M8" s="30" t="s">
        <v>1</v>
      </c>
      <c r="N8" s="31">
        <v>12</v>
      </c>
      <c r="O8" s="46" t="s">
        <v>2</v>
      </c>
      <c r="P8" s="25"/>
      <c r="Q8" s="33"/>
      <c r="R8" s="248" t="s">
        <v>32</v>
      </c>
      <c r="S8" s="61">
        <f>H8*K8*N8</f>
        <v>152550000</v>
      </c>
    </row>
    <row r="9" spans="1:19" ht="19.5" customHeight="1">
      <c r="A9" s="11"/>
      <c r="B9" s="17"/>
      <c r="C9" s="39"/>
      <c r="D9" s="11"/>
      <c r="E9" s="17"/>
      <c r="F9" s="44"/>
      <c r="G9" s="41" t="s">
        <v>155</v>
      </c>
      <c r="H9" s="29">
        <v>1428780</v>
      </c>
      <c r="I9" s="30" t="s">
        <v>4</v>
      </c>
      <c r="J9" s="30" t="s">
        <v>1</v>
      </c>
      <c r="K9" s="29">
        <v>4</v>
      </c>
      <c r="L9" s="46" t="s">
        <v>0</v>
      </c>
      <c r="M9" s="30" t="s">
        <v>1</v>
      </c>
      <c r="N9" s="31">
        <v>2</v>
      </c>
      <c r="O9" s="46" t="s">
        <v>2</v>
      </c>
      <c r="P9" s="31"/>
      <c r="Q9" s="46"/>
      <c r="R9" s="25" t="s">
        <v>34</v>
      </c>
      <c r="S9" s="61">
        <f>H9*K9*N9</f>
        <v>11430240</v>
      </c>
    </row>
    <row r="10" spans="1:19" ht="18" customHeight="1">
      <c r="A10" s="11"/>
      <c r="B10" s="17"/>
      <c r="C10" s="23"/>
      <c r="D10" s="35"/>
      <c r="E10" s="69"/>
      <c r="F10" s="42"/>
      <c r="G10" s="380" t="s">
        <v>23</v>
      </c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88">
        <f>ROUNDDOWN(S8+S9,-3)</f>
        <v>163980000</v>
      </c>
    </row>
    <row r="11" spans="1:19" ht="18" customHeight="1">
      <c r="A11" s="11"/>
      <c r="B11" s="17"/>
      <c r="C11" s="38" t="s">
        <v>175</v>
      </c>
      <c r="D11" s="9">
        <f>INT(S14/1000)</f>
        <v>38942</v>
      </c>
      <c r="E11" s="12">
        <v>38865</v>
      </c>
      <c r="F11" s="43">
        <f>+D11-E11</f>
        <v>77</v>
      </c>
      <c r="G11" s="40"/>
      <c r="H11" s="15"/>
      <c r="I11" s="15"/>
      <c r="J11" s="15"/>
      <c r="K11" s="15"/>
      <c r="L11" s="32"/>
      <c r="M11" s="15"/>
      <c r="N11" s="15"/>
      <c r="O11" s="32"/>
      <c r="P11" s="15"/>
      <c r="Q11" s="32"/>
      <c r="R11" s="15"/>
      <c r="S11" s="59"/>
    </row>
    <row r="12" spans="1:19" ht="18" customHeight="1">
      <c r="A12" s="11"/>
      <c r="B12" s="17"/>
      <c r="C12" s="39"/>
      <c r="D12" s="11"/>
      <c r="E12" s="17"/>
      <c r="F12" s="44"/>
      <c r="G12" s="41" t="s">
        <v>226</v>
      </c>
      <c r="H12" s="29">
        <v>2992100</v>
      </c>
      <c r="I12" s="30" t="s">
        <v>4</v>
      </c>
      <c r="J12" s="30" t="s">
        <v>1</v>
      </c>
      <c r="K12" s="29">
        <v>1</v>
      </c>
      <c r="L12" s="46" t="s">
        <v>0</v>
      </c>
      <c r="M12" s="30" t="s">
        <v>1</v>
      </c>
      <c r="N12" s="31">
        <v>12</v>
      </c>
      <c r="O12" s="46" t="s">
        <v>2</v>
      </c>
      <c r="P12" s="25"/>
      <c r="Q12" s="33"/>
      <c r="R12" s="248" t="s">
        <v>32</v>
      </c>
      <c r="S12" s="61">
        <f>H12*K12*N12</f>
        <v>35905200</v>
      </c>
    </row>
    <row r="13" spans="1:19" ht="19.5" customHeight="1">
      <c r="A13" s="11"/>
      <c r="B13" s="17"/>
      <c r="C13" s="39"/>
      <c r="D13" s="11"/>
      <c r="E13" s="17"/>
      <c r="F13" s="44"/>
      <c r="G13" s="41" t="s">
        <v>155</v>
      </c>
      <c r="H13" s="29">
        <v>1518550</v>
      </c>
      <c r="I13" s="30" t="s">
        <v>4</v>
      </c>
      <c r="J13" s="30" t="s">
        <v>1</v>
      </c>
      <c r="K13" s="29">
        <v>1</v>
      </c>
      <c r="L13" s="46" t="s">
        <v>0</v>
      </c>
      <c r="M13" s="30" t="s">
        <v>1</v>
      </c>
      <c r="N13" s="31">
        <v>2</v>
      </c>
      <c r="O13" s="46" t="s">
        <v>2</v>
      </c>
      <c r="P13" s="31"/>
      <c r="Q13" s="46"/>
      <c r="R13" s="25" t="s">
        <v>34</v>
      </c>
      <c r="S13" s="61">
        <f>H13*K13*N13</f>
        <v>3037100</v>
      </c>
    </row>
    <row r="14" spans="1:19" ht="18" customHeight="1">
      <c r="A14" s="11"/>
      <c r="B14" s="17"/>
      <c r="C14" s="23"/>
      <c r="D14" s="35"/>
      <c r="E14" s="69"/>
      <c r="F14" s="42"/>
      <c r="G14" s="380" t="s">
        <v>23</v>
      </c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88">
        <f>ROUNDDOWN(S12+S13,-3)</f>
        <v>38942000</v>
      </c>
    </row>
    <row r="15" spans="1:19" ht="18" customHeight="1">
      <c r="A15" s="11"/>
      <c r="B15" s="17"/>
      <c r="C15" s="173" t="s">
        <v>418</v>
      </c>
      <c r="D15" s="9">
        <f>INT(S17/1000)</f>
        <v>52419</v>
      </c>
      <c r="E15" s="12">
        <v>34948</v>
      </c>
      <c r="F15" s="43">
        <f>+D15-E15</f>
        <v>17471</v>
      </c>
      <c r="G15" s="40"/>
      <c r="H15" s="15"/>
      <c r="I15" s="15"/>
      <c r="J15" s="15"/>
      <c r="K15" s="15"/>
      <c r="L15" s="32"/>
      <c r="M15" s="15"/>
      <c r="N15" s="15"/>
      <c r="O15" s="32"/>
      <c r="P15" s="15"/>
      <c r="Q15" s="32"/>
      <c r="R15" s="15"/>
      <c r="S15" s="59"/>
    </row>
    <row r="16" spans="1:19" ht="18" customHeight="1">
      <c r="A16" s="11"/>
      <c r="B16" s="17"/>
      <c r="C16" s="39"/>
      <c r="D16" s="11"/>
      <c r="E16" s="17"/>
      <c r="F16" s="44"/>
      <c r="G16" s="41" t="s">
        <v>419</v>
      </c>
      <c r="H16" s="29">
        <v>1456080</v>
      </c>
      <c r="I16" s="30" t="s">
        <v>4</v>
      </c>
      <c r="J16" s="30" t="s">
        <v>1</v>
      </c>
      <c r="K16" s="29">
        <v>3</v>
      </c>
      <c r="L16" s="46" t="s">
        <v>0</v>
      </c>
      <c r="M16" s="30" t="s">
        <v>1</v>
      </c>
      <c r="N16" s="31">
        <v>12</v>
      </c>
      <c r="O16" s="46" t="s">
        <v>2</v>
      </c>
      <c r="P16" s="25"/>
      <c r="Q16" s="33"/>
      <c r="R16" s="248" t="s">
        <v>32</v>
      </c>
      <c r="S16" s="61">
        <f>H16*K16*N16</f>
        <v>52418880</v>
      </c>
    </row>
    <row r="17" spans="1:19" ht="18" customHeight="1">
      <c r="A17" s="11"/>
      <c r="B17" s="22"/>
      <c r="C17" s="23"/>
      <c r="D17" s="35"/>
      <c r="E17" s="69"/>
      <c r="F17" s="42"/>
      <c r="G17" s="380" t="s">
        <v>23</v>
      </c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88">
        <f>ROUNDUP(S16,-3)</f>
        <v>52419000</v>
      </c>
    </row>
    <row r="18" spans="1:19" ht="19.5" customHeight="1">
      <c r="A18" s="11"/>
      <c r="B18" s="348" t="s">
        <v>72</v>
      </c>
      <c r="C18" s="383"/>
      <c r="D18" s="134">
        <f>SUM(D19+D36+D44)</f>
        <v>26453</v>
      </c>
      <c r="E18" s="134">
        <f>SUM(E19+E36+E44)</f>
        <v>20589</v>
      </c>
      <c r="F18" s="133">
        <f>F19+F36+F44</f>
        <v>5864</v>
      </c>
      <c r="G18" s="135"/>
      <c r="H18" s="136"/>
      <c r="I18" s="137"/>
      <c r="J18" s="137"/>
      <c r="K18" s="136"/>
      <c r="L18" s="138"/>
      <c r="M18" s="137"/>
      <c r="N18" s="139"/>
      <c r="O18" s="138"/>
      <c r="P18" s="139"/>
      <c r="Q18" s="138"/>
      <c r="R18" s="140"/>
      <c r="S18" s="141"/>
    </row>
    <row r="19" spans="1:19" ht="18" customHeight="1">
      <c r="A19" s="11"/>
      <c r="B19" s="17"/>
      <c r="C19" s="86" t="s">
        <v>73</v>
      </c>
      <c r="D19" s="9">
        <f>INT(S35/1000)</f>
        <v>17055</v>
      </c>
      <c r="E19" s="68">
        <v>11819</v>
      </c>
      <c r="F19" s="43">
        <f>+D19-E19</f>
        <v>5236</v>
      </c>
      <c r="G19" s="40"/>
      <c r="H19" s="15"/>
      <c r="I19" s="15"/>
      <c r="J19" s="15"/>
      <c r="K19" s="15"/>
      <c r="L19" s="32"/>
      <c r="M19" s="15"/>
      <c r="N19" s="15"/>
      <c r="O19" s="32"/>
      <c r="P19" s="15"/>
      <c r="Q19" s="32"/>
      <c r="R19" s="15"/>
      <c r="S19" s="59"/>
    </row>
    <row r="20" spans="1:19" ht="18" customHeight="1">
      <c r="A20" s="11"/>
      <c r="B20" s="17"/>
      <c r="C20" s="39"/>
      <c r="D20" s="11"/>
      <c r="E20" s="17"/>
      <c r="F20" s="44"/>
      <c r="G20" s="41" t="s">
        <v>156</v>
      </c>
      <c r="H20" s="29">
        <v>250000</v>
      </c>
      <c r="I20" s="30" t="s">
        <v>4</v>
      </c>
      <c r="J20" s="30" t="s">
        <v>1</v>
      </c>
      <c r="K20" s="29">
        <v>1</v>
      </c>
      <c r="L20" s="46" t="s">
        <v>0</v>
      </c>
      <c r="M20" s="30" t="s">
        <v>1</v>
      </c>
      <c r="N20" s="31">
        <v>12</v>
      </c>
      <c r="O20" s="46" t="s">
        <v>2</v>
      </c>
      <c r="P20" s="25"/>
      <c r="Q20" s="25"/>
      <c r="R20" s="25" t="s">
        <v>34</v>
      </c>
      <c r="S20" s="61">
        <v>3000000</v>
      </c>
    </row>
    <row r="21" spans="1:19" ht="19.5" customHeight="1">
      <c r="A21" s="11"/>
      <c r="B21" s="17"/>
      <c r="C21" s="39"/>
      <c r="D21" s="11"/>
      <c r="E21" s="17"/>
      <c r="F21" s="44"/>
      <c r="G21" s="41" t="s">
        <v>157</v>
      </c>
      <c r="H21" s="29"/>
      <c r="I21" s="30"/>
      <c r="J21" s="30"/>
      <c r="K21" s="29"/>
      <c r="L21" s="46"/>
      <c r="M21" s="30"/>
      <c r="N21" s="31"/>
      <c r="O21" s="46"/>
      <c r="P21" s="31"/>
      <c r="Q21" s="46"/>
      <c r="R21" s="25"/>
      <c r="S21" s="61"/>
    </row>
    <row r="22" spans="1:19" ht="18" customHeight="1">
      <c r="A22" s="11"/>
      <c r="B22" s="17"/>
      <c r="C22" s="39"/>
      <c r="D22" s="11"/>
      <c r="E22" s="17"/>
      <c r="F22" s="44"/>
      <c r="G22" s="41" t="s">
        <v>158</v>
      </c>
      <c r="H22" s="29">
        <v>130000</v>
      </c>
      <c r="I22" s="30" t="s">
        <v>4</v>
      </c>
      <c r="J22" s="30" t="s">
        <v>1</v>
      </c>
      <c r="K22" s="29">
        <v>0</v>
      </c>
      <c r="L22" s="46" t="s">
        <v>0</v>
      </c>
      <c r="M22" s="30" t="s">
        <v>1</v>
      </c>
      <c r="N22" s="31">
        <v>12</v>
      </c>
      <c r="O22" s="46" t="s">
        <v>2</v>
      </c>
      <c r="P22" s="25"/>
      <c r="Q22" s="25"/>
      <c r="R22" s="25" t="s">
        <v>34</v>
      </c>
      <c r="S22" s="61">
        <f>H22*K22*N22</f>
        <v>0</v>
      </c>
    </row>
    <row r="23" spans="1:19" ht="18" customHeight="1">
      <c r="A23" s="11"/>
      <c r="B23" s="17"/>
      <c r="C23" s="39"/>
      <c r="D23" s="11"/>
      <c r="E23" s="17"/>
      <c r="F23" s="44"/>
      <c r="G23" s="41" t="s">
        <v>350</v>
      </c>
      <c r="H23" s="29">
        <v>110000</v>
      </c>
      <c r="I23" s="30" t="s">
        <v>4</v>
      </c>
      <c r="J23" s="30" t="s">
        <v>1</v>
      </c>
      <c r="K23" s="29">
        <v>3</v>
      </c>
      <c r="L23" s="46" t="s">
        <v>0</v>
      </c>
      <c r="M23" s="30" t="s">
        <v>1</v>
      </c>
      <c r="N23" s="31">
        <v>12</v>
      </c>
      <c r="O23" s="46" t="s">
        <v>2</v>
      </c>
      <c r="P23" s="25"/>
      <c r="Q23" s="25"/>
      <c r="R23" s="25" t="s">
        <v>34</v>
      </c>
      <c r="S23" s="61">
        <f>H23*K23*N23</f>
        <v>3960000</v>
      </c>
    </row>
    <row r="24" spans="1:19" ht="18" customHeight="1">
      <c r="A24" s="11"/>
      <c r="B24" s="17"/>
      <c r="C24" s="39"/>
      <c r="D24" s="11"/>
      <c r="E24" s="17"/>
      <c r="F24" s="44"/>
      <c r="G24" s="41" t="s">
        <v>351</v>
      </c>
      <c r="H24" s="29">
        <v>80000</v>
      </c>
      <c r="I24" s="30" t="s">
        <v>4</v>
      </c>
      <c r="J24" s="30" t="s">
        <v>1</v>
      </c>
      <c r="K24" s="29">
        <v>0</v>
      </c>
      <c r="L24" s="46" t="s">
        <v>0</v>
      </c>
      <c r="M24" s="30" t="s">
        <v>1</v>
      </c>
      <c r="N24" s="31">
        <v>12</v>
      </c>
      <c r="O24" s="46" t="s">
        <v>2</v>
      </c>
      <c r="P24" s="25"/>
      <c r="Q24" s="25"/>
      <c r="R24" s="25" t="s">
        <v>34</v>
      </c>
      <c r="S24" s="61">
        <f>H24*K24*N24</f>
        <v>0</v>
      </c>
    </row>
    <row r="25" spans="1:19" ht="19.5" customHeight="1">
      <c r="A25" s="11"/>
      <c r="B25" s="17"/>
      <c r="C25" s="39"/>
      <c r="D25" s="11"/>
      <c r="E25" s="17"/>
      <c r="F25" s="44"/>
      <c r="G25" s="41" t="s">
        <v>160</v>
      </c>
      <c r="H25" s="29"/>
      <c r="I25" s="30"/>
      <c r="J25" s="30"/>
      <c r="K25" s="29"/>
      <c r="L25" s="46"/>
      <c r="M25" s="30"/>
      <c r="N25" s="31"/>
      <c r="O25" s="46"/>
      <c r="P25" s="31"/>
      <c r="Q25" s="46"/>
      <c r="R25" s="25"/>
      <c r="S25" s="305" t="s">
        <v>402</v>
      </c>
    </row>
    <row r="26" spans="1:19" ht="18" customHeight="1">
      <c r="A26" s="11"/>
      <c r="B26" s="17"/>
      <c r="C26" s="39"/>
      <c r="D26" s="11"/>
      <c r="E26" s="17"/>
      <c r="F26" s="44"/>
      <c r="G26" s="41" t="s">
        <v>161</v>
      </c>
      <c r="H26" s="29">
        <v>65000</v>
      </c>
      <c r="I26" s="30" t="s">
        <v>4</v>
      </c>
      <c r="J26" s="30" t="s">
        <v>1</v>
      </c>
      <c r="K26" s="29">
        <v>1</v>
      </c>
      <c r="L26" s="46" t="s">
        <v>0</v>
      </c>
      <c r="M26" s="30" t="s">
        <v>1</v>
      </c>
      <c r="N26" s="31">
        <v>10</v>
      </c>
      <c r="O26" s="46" t="s">
        <v>2</v>
      </c>
      <c r="P26" s="25"/>
      <c r="Q26" s="33"/>
      <c r="R26" s="25" t="s">
        <v>34</v>
      </c>
      <c r="S26" s="61">
        <f>H26*K26*N26-80000</f>
        <v>570000</v>
      </c>
    </row>
    <row r="27" spans="1:19" ht="18" customHeight="1">
      <c r="A27" s="11"/>
      <c r="B27" s="17"/>
      <c r="C27" s="39"/>
      <c r="D27" s="11"/>
      <c r="E27" s="17"/>
      <c r="F27" s="44"/>
      <c r="G27" s="41" t="s">
        <v>420</v>
      </c>
      <c r="H27" s="29">
        <v>55000</v>
      </c>
      <c r="I27" s="30" t="s">
        <v>4</v>
      </c>
      <c r="J27" s="30" t="s">
        <v>1</v>
      </c>
      <c r="K27" s="29">
        <v>1</v>
      </c>
      <c r="L27" s="46" t="s">
        <v>0</v>
      </c>
      <c r="M27" s="30" t="s">
        <v>1</v>
      </c>
      <c r="N27" s="31">
        <v>10</v>
      </c>
      <c r="O27" s="46" t="s">
        <v>2</v>
      </c>
      <c r="P27" s="25"/>
      <c r="Q27" s="33"/>
      <c r="R27" s="25" t="s">
        <v>32</v>
      </c>
      <c r="S27" s="61">
        <f>H27*K27*N27</f>
        <v>550000</v>
      </c>
    </row>
    <row r="28" spans="1:19" ht="18" customHeight="1">
      <c r="A28" s="11"/>
      <c r="B28" s="17"/>
      <c r="C28" s="39"/>
      <c r="D28" s="11"/>
      <c r="E28" s="17"/>
      <c r="F28" s="44"/>
      <c r="G28" s="41" t="s">
        <v>510</v>
      </c>
      <c r="H28" s="29">
        <v>35000</v>
      </c>
      <c r="I28" s="30" t="s">
        <v>4</v>
      </c>
      <c r="J28" s="30" t="s">
        <v>1</v>
      </c>
      <c r="K28" s="29">
        <v>1</v>
      </c>
      <c r="L28" s="46" t="s">
        <v>0</v>
      </c>
      <c r="M28" s="30" t="s">
        <v>1</v>
      </c>
      <c r="N28" s="31">
        <v>10</v>
      </c>
      <c r="O28" s="46" t="s">
        <v>2</v>
      </c>
      <c r="P28" s="25"/>
      <c r="Q28" s="33"/>
      <c r="R28" s="25" t="s">
        <v>32</v>
      </c>
      <c r="S28" s="61">
        <f>H28*K28*N28</f>
        <v>350000</v>
      </c>
    </row>
    <row r="29" spans="1:19" ht="18" customHeight="1">
      <c r="A29" s="11"/>
      <c r="B29" s="17"/>
      <c r="C29" s="39"/>
      <c r="D29" s="11"/>
      <c r="E29" s="17"/>
      <c r="F29" s="44"/>
      <c r="G29" s="41" t="s">
        <v>511</v>
      </c>
      <c r="H29" s="29">
        <v>50000</v>
      </c>
      <c r="I29" s="30" t="s">
        <v>4</v>
      </c>
      <c r="J29" s="30" t="s">
        <v>1</v>
      </c>
      <c r="K29" s="29">
        <v>1</v>
      </c>
      <c r="L29" s="46" t="s">
        <v>0</v>
      </c>
      <c r="M29" s="30" t="s">
        <v>1</v>
      </c>
      <c r="N29" s="31">
        <v>10</v>
      </c>
      <c r="O29" s="46" t="s">
        <v>2</v>
      </c>
      <c r="P29" s="25"/>
      <c r="Q29" s="33"/>
      <c r="R29" s="25" t="s">
        <v>32</v>
      </c>
      <c r="S29" s="61">
        <f>H29*K29*N29</f>
        <v>500000</v>
      </c>
    </row>
    <row r="30" spans="1:19" ht="18" customHeight="1">
      <c r="A30" s="11"/>
      <c r="B30" s="17"/>
      <c r="C30" s="25"/>
      <c r="D30" s="11"/>
      <c r="E30" s="67"/>
      <c r="F30" s="44"/>
      <c r="G30" s="41" t="s">
        <v>162</v>
      </c>
      <c r="H30" s="25"/>
      <c r="I30" s="25"/>
      <c r="J30" s="25"/>
      <c r="K30" s="25"/>
      <c r="L30" s="33"/>
      <c r="M30" s="25"/>
      <c r="N30" s="25"/>
      <c r="O30" s="33"/>
      <c r="P30" s="25"/>
      <c r="Q30" s="33"/>
      <c r="R30" s="25"/>
      <c r="S30" s="60"/>
    </row>
    <row r="31" spans="1:19" ht="18" customHeight="1">
      <c r="A31" s="11"/>
      <c r="B31" s="17"/>
      <c r="C31" s="39"/>
      <c r="D31" s="11"/>
      <c r="E31" s="17"/>
      <c r="F31" s="44"/>
      <c r="G31" s="41" t="s">
        <v>163</v>
      </c>
      <c r="H31" s="29">
        <v>40000</v>
      </c>
      <c r="I31" s="30" t="s">
        <v>4</v>
      </c>
      <c r="J31" s="30" t="s">
        <v>1</v>
      </c>
      <c r="K31" s="29">
        <v>2</v>
      </c>
      <c r="L31" s="46" t="s">
        <v>0</v>
      </c>
      <c r="M31" s="30" t="s">
        <v>1</v>
      </c>
      <c r="N31" s="31">
        <v>12</v>
      </c>
      <c r="O31" s="46" t="s">
        <v>2</v>
      </c>
      <c r="P31" s="25"/>
      <c r="Q31" s="33"/>
      <c r="R31" s="25" t="s">
        <v>34</v>
      </c>
      <c r="S31" s="61">
        <f>H31*K31*N31</f>
        <v>960000</v>
      </c>
    </row>
    <row r="32" spans="1:19" ht="18" customHeight="1">
      <c r="A32" s="11"/>
      <c r="B32" s="17"/>
      <c r="C32" s="39"/>
      <c r="D32" s="11"/>
      <c r="E32" s="17"/>
      <c r="F32" s="44"/>
      <c r="G32" s="41" t="s">
        <v>352</v>
      </c>
      <c r="H32" s="29">
        <v>20000</v>
      </c>
      <c r="I32" s="30" t="s">
        <v>4</v>
      </c>
      <c r="J32" s="30" t="s">
        <v>1</v>
      </c>
      <c r="K32" s="29">
        <v>6</v>
      </c>
      <c r="L32" s="46" t="s">
        <v>0</v>
      </c>
      <c r="M32" s="30" t="s">
        <v>1</v>
      </c>
      <c r="N32" s="31">
        <v>12</v>
      </c>
      <c r="O32" s="46" t="s">
        <v>2</v>
      </c>
      <c r="P32" s="25"/>
      <c r="Q32" s="33"/>
      <c r="R32" s="25" t="s">
        <v>34</v>
      </c>
      <c r="S32" s="61">
        <f>H32*K32*N32</f>
        <v>1440000</v>
      </c>
    </row>
    <row r="33" spans="1:19" ht="18" customHeight="1">
      <c r="A33" s="11"/>
      <c r="B33" s="17"/>
      <c r="C33" s="39"/>
      <c r="D33" s="11"/>
      <c r="E33" s="17"/>
      <c r="F33" s="44"/>
      <c r="G33" s="41" t="s">
        <v>164</v>
      </c>
      <c r="H33" s="29">
        <v>30000</v>
      </c>
      <c r="I33" s="30" t="s">
        <v>4</v>
      </c>
      <c r="J33" s="30" t="s">
        <v>1</v>
      </c>
      <c r="K33" s="29">
        <v>1</v>
      </c>
      <c r="L33" s="46" t="s">
        <v>0</v>
      </c>
      <c r="M33" s="30" t="s">
        <v>1</v>
      </c>
      <c r="N33" s="31">
        <v>12</v>
      </c>
      <c r="O33" s="46" t="s">
        <v>2</v>
      </c>
      <c r="P33" s="25"/>
      <c r="Q33" s="33"/>
      <c r="R33" s="25" t="s">
        <v>34</v>
      </c>
      <c r="S33" s="61">
        <f>H33*K33*N33</f>
        <v>360000</v>
      </c>
    </row>
    <row r="34" spans="1:19" ht="19.5" customHeight="1">
      <c r="A34" s="11"/>
      <c r="B34" s="17"/>
      <c r="C34" s="39"/>
      <c r="D34" s="11"/>
      <c r="E34" s="17"/>
      <c r="F34" s="44"/>
      <c r="G34" s="41" t="s">
        <v>227</v>
      </c>
      <c r="H34" s="29"/>
      <c r="I34" s="30"/>
      <c r="J34" s="30"/>
      <c r="K34" s="29"/>
      <c r="L34" s="46"/>
      <c r="M34" s="30"/>
      <c r="N34" s="31"/>
      <c r="O34" s="46"/>
      <c r="P34" s="31"/>
      <c r="Q34" s="46"/>
      <c r="R34" s="25"/>
      <c r="S34" s="61">
        <v>5365000</v>
      </c>
    </row>
    <row r="35" spans="1:19" ht="18" customHeight="1">
      <c r="A35" s="11"/>
      <c r="B35" s="17"/>
      <c r="C35" s="23"/>
      <c r="D35" s="35"/>
      <c r="E35" s="69"/>
      <c r="F35" s="42"/>
      <c r="G35" s="380" t="s">
        <v>23</v>
      </c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88">
        <f>SUM(S20:S34)</f>
        <v>17055000</v>
      </c>
    </row>
    <row r="36" spans="1:19" ht="18" customHeight="1">
      <c r="A36" s="11"/>
      <c r="B36" s="17"/>
      <c r="C36" s="86" t="s">
        <v>176</v>
      </c>
      <c r="D36" s="9">
        <f>INT(S43/1000)</f>
        <v>2280</v>
      </c>
      <c r="E36" s="68">
        <v>2280</v>
      </c>
      <c r="F36" s="43">
        <f>+D36-E36</f>
        <v>0</v>
      </c>
      <c r="G36" s="40"/>
      <c r="H36" s="15"/>
      <c r="I36" s="15"/>
      <c r="J36" s="15"/>
      <c r="K36" s="15"/>
      <c r="L36" s="32"/>
      <c r="M36" s="15"/>
      <c r="N36" s="15"/>
      <c r="O36" s="32"/>
      <c r="P36" s="15"/>
      <c r="Q36" s="32"/>
      <c r="R36" s="15"/>
      <c r="S36" s="59"/>
    </row>
    <row r="37" spans="1:19" ht="18" customHeight="1">
      <c r="A37" s="11"/>
      <c r="B37" s="17"/>
      <c r="C37" s="25"/>
      <c r="D37" s="11"/>
      <c r="E37" s="67"/>
      <c r="F37" s="44"/>
      <c r="G37" s="41" t="s">
        <v>162</v>
      </c>
      <c r="H37" s="25"/>
      <c r="I37" s="25"/>
      <c r="J37" s="25"/>
      <c r="K37" s="25"/>
      <c r="L37" s="33"/>
      <c r="M37" s="25"/>
      <c r="N37" s="25"/>
      <c r="O37" s="33"/>
      <c r="P37" s="25"/>
      <c r="Q37" s="33"/>
      <c r="R37" s="25"/>
      <c r="S37" s="60"/>
    </row>
    <row r="38" spans="1:19" ht="18" customHeight="1">
      <c r="A38" s="11"/>
      <c r="B38" s="17"/>
      <c r="C38" s="39"/>
      <c r="D38" s="11"/>
      <c r="E38" s="17"/>
      <c r="F38" s="44"/>
      <c r="G38" s="41" t="s">
        <v>163</v>
      </c>
      <c r="H38" s="29">
        <v>40000</v>
      </c>
      <c r="I38" s="30" t="s">
        <v>4</v>
      </c>
      <c r="J38" s="30" t="s">
        <v>1</v>
      </c>
      <c r="K38" s="29">
        <v>1</v>
      </c>
      <c r="L38" s="46" t="s">
        <v>0</v>
      </c>
      <c r="M38" s="30" t="s">
        <v>1</v>
      </c>
      <c r="N38" s="31">
        <v>12</v>
      </c>
      <c r="O38" s="46" t="s">
        <v>2</v>
      </c>
      <c r="P38" s="25"/>
      <c r="Q38" s="33"/>
      <c r="R38" s="25" t="s">
        <v>32</v>
      </c>
      <c r="S38" s="61">
        <f>H38*K38*N38</f>
        <v>480000</v>
      </c>
    </row>
    <row r="39" spans="1:19" ht="18" customHeight="1">
      <c r="A39" s="11"/>
      <c r="B39" s="17"/>
      <c r="C39" s="39"/>
      <c r="D39" s="11"/>
      <c r="E39" s="17"/>
      <c r="F39" s="44"/>
      <c r="G39" s="41" t="s">
        <v>352</v>
      </c>
      <c r="H39" s="29">
        <v>20000</v>
      </c>
      <c r="I39" s="30" t="s">
        <v>4</v>
      </c>
      <c r="J39" s="30" t="s">
        <v>1</v>
      </c>
      <c r="K39" s="29">
        <v>2</v>
      </c>
      <c r="L39" s="46" t="s">
        <v>0</v>
      </c>
      <c r="M39" s="30" t="s">
        <v>1</v>
      </c>
      <c r="N39" s="31">
        <v>12</v>
      </c>
      <c r="O39" s="46" t="s">
        <v>2</v>
      </c>
      <c r="P39" s="25"/>
      <c r="Q39" s="33"/>
      <c r="R39" s="25" t="s">
        <v>32</v>
      </c>
      <c r="S39" s="61">
        <f>H39*K39*N39</f>
        <v>480000</v>
      </c>
    </row>
    <row r="40" spans="1:19" ht="18" customHeight="1">
      <c r="A40" s="11"/>
      <c r="B40" s="17"/>
      <c r="C40" s="25"/>
      <c r="D40" s="11"/>
      <c r="E40" s="67"/>
      <c r="F40" s="44"/>
      <c r="G40" s="41" t="s">
        <v>157</v>
      </c>
      <c r="H40" s="25"/>
      <c r="I40" s="25"/>
      <c r="J40" s="25"/>
      <c r="K40" s="25"/>
      <c r="L40" s="33"/>
      <c r="M40" s="25"/>
      <c r="N40" s="25"/>
      <c r="O40" s="33"/>
      <c r="P40" s="25"/>
      <c r="Q40" s="33"/>
      <c r="R40" s="25"/>
      <c r="S40" s="60"/>
    </row>
    <row r="41" spans="1:19" ht="18" customHeight="1">
      <c r="A41" s="11"/>
      <c r="B41" s="17"/>
      <c r="C41" s="39"/>
      <c r="D41" s="11"/>
      <c r="E41" s="17"/>
      <c r="F41" s="44"/>
      <c r="G41" s="41" t="s">
        <v>159</v>
      </c>
      <c r="H41" s="29">
        <v>110000</v>
      </c>
      <c r="I41" s="30" t="s">
        <v>4</v>
      </c>
      <c r="J41" s="30" t="s">
        <v>1</v>
      </c>
      <c r="K41" s="29">
        <v>1</v>
      </c>
      <c r="L41" s="46" t="s">
        <v>0</v>
      </c>
      <c r="M41" s="30" t="s">
        <v>1</v>
      </c>
      <c r="N41" s="31">
        <v>12</v>
      </c>
      <c r="O41" s="46" t="s">
        <v>2</v>
      </c>
      <c r="P41" s="25"/>
      <c r="Q41" s="33"/>
      <c r="R41" s="25" t="s">
        <v>32</v>
      </c>
      <c r="S41" s="61">
        <f>H41*K41*N41</f>
        <v>1320000</v>
      </c>
    </row>
    <row r="42" spans="1:19" ht="18" customHeight="1">
      <c r="A42" s="11"/>
      <c r="B42" s="17"/>
      <c r="C42" s="39"/>
      <c r="D42" s="11"/>
      <c r="E42" s="17"/>
      <c r="F42" s="44"/>
      <c r="G42" s="41" t="s">
        <v>353</v>
      </c>
      <c r="H42" s="29">
        <v>80000</v>
      </c>
      <c r="I42" s="30" t="s">
        <v>4</v>
      </c>
      <c r="J42" s="30" t="s">
        <v>1</v>
      </c>
      <c r="K42" s="29">
        <v>0</v>
      </c>
      <c r="L42" s="46" t="s">
        <v>0</v>
      </c>
      <c r="M42" s="30" t="s">
        <v>1</v>
      </c>
      <c r="N42" s="31">
        <v>12</v>
      </c>
      <c r="O42" s="46" t="s">
        <v>2</v>
      </c>
      <c r="P42" s="25"/>
      <c r="Q42" s="33"/>
      <c r="R42" s="25" t="s">
        <v>32</v>
      </c>
      <c r="S42" s="61">
        <f>H42*K42*N42</f>
        <v>0</v>
      </c>
    </row>
    <row r="43" spans="1:19" ht="18" customHeight="1">
      <c r="A43" s="11"/>
      <c r="B43" s="22"/>
      <c r="C43" s="23"/>
      <c r="D43" s="35"/>
      <c r="E43" s="69"/>
      <c r="F43" s="42"/>
      <c r="G43" s="380" t="s">
        <v>23</v>
      </c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88">
        <f>SUM(S36:S42)</f>
        <v>2280000</v>
      </c>
    </row>
    <row r="44" spans="1:19" ht="18" customHeight="1">
      <c r="A44" s="11"/>
      <c r="B44" s="17"/>
      <c r="C44" s="86" t="s">
        <v>408</v>
      </c>
      <c r="D44" s="9">
        <f>INT(S54/1000)</f>
        <v>7118</v>
      </c>
      <c r="E44" s="68">
        <v>6490</v>
      </c>
      <c r="F44" s="43">
        <f>+D44-E44</f>
        <v>628</v>
      </c>
      <c r="G44" s="40"/>
      <c r="H44" s="15"/>
      <c r="I44" s="15"/>
      <c r="J44" s="15"/>
      <c r="K44" s="15"/>
      <c r="L44" s="32"/>
      <c r="M44" s="15"/>
      <c r="N44" s="15"/>
      <c r="O44" s="32"/>
      <c r="P44" s="15"/>
      <c r="Q44" s="32"/>
      <c r="R44" s="15"/>
      <c r="S44" s="59"/>
    </row>
    <row r="45" spans="1:19" ht="18" customHeight="1">
      <c r="A45" s="11"/>
      <c r="B45" s="17"/>
      <c r="C45" s="25"/>
      <c r="D45" s="11"/>
      <c r="E45" s="67"/>
      <c r="F45" s="44"/>
      <c r="G45" s="41" t="s">
        <v>421</v>
      </c>
      <c r="H45" s="29">
        <v>200000</v>
      </c>
      <c r="I45" s="30" t="s">
        <v>4</v>
      </c>
      <c r="J45" s="30" t="s">
        <v>1</v>
      </c>
      <c r="K45" s="29">
        <v>3</v>
      </c>
      <c r="L45" s="46" t="s">
        <v>0</v>
      </c>
      <c r="M45" s="30" t="s">
        <v>1</v>
      </c>
      <c r="N45" s="31">
        <v>2</v>
      </c>
      <c r="O45" s="46" t="s">
        <v>2</v>
      </c>
      <c r="P45" s="25"/>
      <c r="Q45" s="33"/>
      <c r="R45" s="25"/>
      <c r="S45" s="61">
        <f>H45*K45*N45</f>
        <v>1200000</v>
      </c>
    </row>
    <row r="46" spans="1:19" ht="18" customHeight="1">
      <c r="A46" s="11"/>
      <c r="B46" s="17"/>
      <c r="C46" s="25"/>
      <c r="D46" s="11"/>
      <c r="E46" s="67"/>
      <c r="F46" s="44"/>
      <c r="G46" s="41" t="s">
        <v>422</v>
      </c>
      <c r="H46" s="29">
        <v>530660</v>
      </c>
      <c r="I46" s="30" t="s">
        <v>4</v>
      </c>
      <c r="J46" s="30" t="s">
        <v>1</v>
      </c>
      <c r="K46" s="29">
        <v>1</v>
      </c>
      <c r="L46" s="46" t="s">
        <v>0</v>
      </c>
      <c r="M46" s="30" t="s">
        <v>1</v>
      </c>
      <c r="N46" s="31">
        <v>1</v>
      </c>
      <c r="O46" s="46" t="s">
        <v>2</v>
      </c>
      <c r="P46" s="25"/>
      <c r="Q46" s="33"/>
      <c r="R46" s="25"/>
      <c r="S46" s="61">
        <f>H46*K46*N46</f>
        <v>530660</v>
      </c>
    </row>
    <row r="47" spans="1:19" ht="18" customHeight="1">
      <c r="A47" s="11"/>
      <c r="B47" s="17"/>
      <c r="C47" s="25"/>
      <c r="D47" s="11"/>
      <c r="E47" s="67"/>
      <c r="F47" s="44"/>
      <c r="G47" s="41" t="s">
        <v>512</v>
      </c>
      <c r="H47" s="29">
        <v>50000</v>
      </c>
      <c r="I47" s="30" t="s">
        <v>4</v>
      </c>
      <c r="J47" s="30" t="s">
        <v>1</v>
      </c>
      <c r="K47" s="29">
        <v>1</v>
      </c>
      <c r="L47" s="46" t="s">
        <v>0</v>
      </c>
      <c r="M47" s="30" t="s">
        <v>1</v>
      </c>
      <c r="N47" s="31">
        <v>6</v>
      </c>
      <c r="O47" s="46" t="s">
        <v>2</v>
      </c>
      <c r="P47" s="25"/>
      <c r="Q47" s="33"/>
      <c r="R47" s="25"/>
      <c r="S47" s="61">
        <f>H47*K47*N47</f>
        <v>300000</v>
      </c>
    </row>
    <row r="48" spans="1:19" ht="18" customHeight="1">
      <c r="A48" s="11"/>
      <c r="B48" s="17"/>
      <c r="C48" s="25"/>
      <c r="D48" s="11"/>
      <c r="E48" s="67"/>
      <c r="F48" s="44"/>
      <c r="G48" s="41" t="s">
        <v>423</v>
      </c>
      <c r="H48" s="29">
        <v>60000</v>
      </c>
      <c r="I48" s="30" t="s">
        <v>4</v>
      </c>
      <c r="J48" s="30" t="s">
        <v>1</v>
      </c>
      <c r="K48" s="29">
        <v>3</v>
      </c>
      <c r="L48" s="46" t="s">
        <v>0</v>
      </c>
      <c r="M48" s="30" t="s">
        <v>1</v>
      </c>
      <c r="N48" s="31">
        <v>12</v>
      </c>
      <c r="O48" s="46" t="s">
        <v>2</v>
      </c>
      <c r="P48" s="25"/>
      <c r="Q48" s="33"/>
      <c r="R48" s="25"/>
      <c r="S48" s="61">
        <f>H48*K48*N48</f>
        <v>2160000</v>
      </c>
    </row>
    <row r="49" spans="1:19" ht="18" customHeight="1">
      <c r="A49" s="11"/>
      <c r="B49" s="17"/>
      <c r="C49" s="25"/>
      <c r="D49" s="11"/>
      <c r="E49" s="67"/>
      <c r="F49" s="44"/>
      <c r="G49" s="41" t="s">
        <v>424</v>
      </c>
      <c r="H49" s="25"/>
      <c r="I49" s="25"/>
      <c r="J49" s="25"/>
      <c r="K49" s="25"/>
      <c r="L49" s="33"/>
      <c r="M49" s="25"/>
      <c r="N49" s="25"/>
      <c r="O49" s="33"/>
      <c r="P49" s="25"/>
      <c r="Q49" s="33"/>
      <c r="R49" s="25"/>
      <c r="S49" s="60"/>
    </row>
    <row r="50" spans="1:19" ht="18" customHeight="1">
      <c r="A50" s="11"/>
      <c r="B50" s="17"/>
      <c r="C50" s="39"/>
      <c r="D50" s="11"/>
      <c r="E50" s="17"/>
      <c r="F50" s="44"/>
      <c r="G50" s="41" t="s">
        <v>163</v>
      </c>
      <c r="H50" s="29">
        <v>40000</v>
      </c>
      <c r="I50" s="30" t="s">
        <v>4</v>
      </c>
      <c r="J50" s="30" t="s">
        <v>1</v>
      </c>
      <c r="K50" s="29">
        <v>2</v>
      </c>
      <c r="L50" s="46" t="s">
        <v>0</v>
      </c>
      <c r="M50" s="30" t="s">
        <v>1</v>
      </c>
      <c r="N50" s="31">
        <v>12</v>
      </c>
      <c r="O50" s="46" t="s">
        <v>2</v>
      </c>
      <c r="P50" s="25"/>
      <c r="Q50" s="33"/>
      <c r="R50" s="25" t="s">
        <v>32</v>
      </c>
      <c r="S50" s="61">
        <f>H50*K50*N50</f>
        <v>960000</v>
      </c>
    </row>
    <row r="51" spans="1:19" ht="18" customHeight="1">
      <c r="A51" s="11"/>
      <c r="B51" s="17"/>
      <c r="C51" s="39"/>
      <c r="D51" s="11"/>
      <c r="E51" s="17"/>
      <c r="F51" s="44"/>
      <c r="G51" s="41" t="s">
        <v>352</v>
      </c>
      <c r="H51" s="29">
        <v>20000</v>
      </c>
      <c r="I51" s="30" t="s">
        <v>4</v>
      </c>
      <c r="J51" s="30" t="s">
        <v>1</v>
      </c>
      <c r="K51" s="29">
        <v>1</v>
      </c>
      <c r="L51" s="46" t="s">
        <v>0</v>
      </c>
      <c r="M51" s="30" t="s">
        <v>1</v>
      </c>
      <c r="N51" s="31">
        <v>12</v>
      </c>
      <c r="O51" s="46" t="s">
        <v>2</v>
      </c>
      <c r="P51" s="25"/>
      <c r="Q51" s="33"/>
      <c r="R51" s="25" t="s">
        <v>32</v>
      </c>
      <c r="S51" s="61">
        <f>H51*K51*N51</f>
        <v>240000</v>
      </c>
    </row>
    <row r="52" spans="1:19" ht="18" customHeight="1">
      <c r="A52" s="11"/>
      <c r="B52" s="17"/>
      <c r="C52" s="25"/>
      <c r="D52" s="11"/>
      <c r="E52" s="67"/>
      <c r="F52" s="44"/>
      <c r="G52" s="41" t="s">
        <v>425</v>
      </c>
      <c r="H52" s="29">
        <v>40000</v>
      </c>
      <c r="I52" s="30" t="s">
        <v>4</v>
      </c>
      <c r="J52" s="30" t="s">
        <v>1</v>
      </c>
      <c r="K52" s="29">
        <v>3</v>
      </c>
      <c r="L52" s="46" t="s">
        <v>0</v>
      </c>
      <c r="M52" s="30" t="s">
        <v>1</v>
      </c>
      <c r="N52" s="31">
        <v>12</v>
      </c>
      <c r="O52" s="46" t="s">
        <v>2</v>
      </c>
      <c r="P52" s="25"/>
      <c r="Q52" s="33"/>
      <c r="R52" s="25"/>
      <c r="S52" s="61">
        <f>H52*K52*N52</f>
        <v>1440000</v>
      </c>
    </row>
    <row r="53" spans="1:19" ht="18" customHeight="1">
      <c r="A53" s="11"/>
      <c r="B53" s="17"/>
      <c r="C53" s="25"/>
      <c r="D53" s="11"/>
      <c r="E53" s="67"/>
      <c r="F53" s="44"/>
      <c r="G53" s="41" t="s">
        <v>426</v>
      </c>
      <c r="H53" s="29">
        <v>95730</v>
      </c>
      <c r="I53" s="30" t="s">
        <v>4</v>
      </c>
      <c r="J53" s="307" t="s">
        <v>1</v>
      </c>
      <c r="K53" s="29">
        <v>3</v>
      </c>
      <c r="L53" s="46" t="s">
        <v>0</v>
      </c>
      <c r="M53" s="30" t="s">
        <v>1</v>
      </c>
      <c r="N53" s="31">
        <v>1</v>
      </c>
      <c r="O53" s="46" t="s">
        <v>2</v>
      </c>
      <c r="P53" s="25"/>
      <c r="Q53" s="33"/>
      <c r="R53" s="25"/>
      <c r="S53" s="61">
        <f>H53*K53*N53</f>
        <v>287190</v>
      </c>
    </row>
    <row r="54" spans="1:19" ht="18" customHeight="1">
      <c r="A54" s="11"/>
      <c r="B54" s="22"/>
      <c r="C54" s="23"/>
      <c r="D54" s="35"/>
      <c r="E54" s="69"/>
      <c r="F54" s="42"/>
      <c r="G54" s="380" t="s">
        <v>23</v>
      </c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88">
        <f>ROUNDUP(S45+S46+S47+S48+S50+S51+S52+S53,-3)</f>
        <v>7118000</v>
      </c>
    </row>
    <row r="55" spans="1:19" ht="19.5" customHeight="1">
      <c r="A55" s="11"/>
      <c r="B55" s="343" t="s">
        <v>245</v>
      </c>
      <c r="C55" s="383"/>
      <c r="D55" s="134">
        <f>SUM(D56+D78)</f>
        <v>167568</v>
      </c>
      <c r="E55" s="134">
        <f>SUM(E56+E78)</f>
        <v>169679</v>
      </c>
      <c r="F55" s="133">
        <f>F56+F78</f>
        <v>-2111</v>
      </c>
      <c r="G55" s="135"/>
      <c r="H55" s="136"/>
      <c r="I55" s="137"/>
      <c r="J55" s="137"/>
      <c r="K55" s="136"/>
      <c r="L55" s="138"/>
      <c r="M55" s="137"/>
      <c r="N55" s="139"/>
      <c r="O55" s="138"/>
      <c r="P55" s="139"/>
      <c r="Q55" s="138"/>
      <c r="R55" s="140"/>
      <c r="S55" s="141"/>
    </row>
    <row r="56" spans="1:19" ht="18" customHeight="1">
      <c r="A56" s="11"/>
      <c r="B56" s="17"/>
      <c r="C56" s="86" t="s">
        <v>228</v>
      </c>
      <c r="D56" s="9">
        <f>INT(S63/1000)</f>
        <v>167568</v>
      </c>
      <c r="E56" s="68">
        <v>169679</v>
      </c>
      <c r="F56" s="43">
        <f>+D56-E56</f>
        <v>-2111</v>
      </c>
      <c r="G56" s="40"/>
      <c r="H56" s="15"/>
      <c r="I56" s="15"/>
      <c r="J56" s="15"/>
      <c r="K56" s="15"/>
      <c r="L56" s="32"/>
      <c r="M56" s="15"/>
      <c r="N56" s="15"/>
      <c r="O56" s="32"/>
      <c r="P56" s="15"/>
      <c r="Q56" s="32"/>
      <c r="R56" s="15"/>
      <c r="S56" s="59"/>
    </row>
    <row r="57" spans="1:19" ht="18" customHeight="1">
      <c r="A57" s="11"/>
      <c r="B57" s="17"/>
      <c r="C57" s="39"/>
      <c r="D57" s="11"/>
      <c r="E57" s="17"/>
      <c r="F57" s="44"/>
      <c r="G57" s="41" t="s">
        <v>229</v>
      </c>
      <c r="H57" s="29">
        <v>1792765</v>
      </c>
      <c r="I57" s="30" t="s">
        <v>4</v>
      </c>
      <c r="J57" s="30" t="s">
        <v>1</v>
      </c>
      <c r="K57" s="29">
        <v>6</v>
      </c>
      <c r="L57" s="46" t="s">
        <v>0</v>
      </c>
      <c r="M57" s="30" t="s">
        <v>1</v>
      </c>
      <c r="N57" s="31">
        <v>12</v>
      </c>
      <c r="O57" s="46" t="s">
        <v>2</v>
      </c>
      <c r="P57" s="25"/>
      <c r="Q57" s="25"/>
      <c r="R57" s="25" t="s">
        <v>34</v>
      </c>
      <c r="S57" s="61">
        <f>H57*K57*N57</f>
        <v>129079080</v>
      </c>
    </row>
    <row r="58" spans="1:19" ht="18" customHeight="1">
      <c r="A58" s="11"/>
      <c r="B58" s="17"/>
      <c r="C58" s="39"/>
      <c r="D58" s="11"/>
      <c r="E58" s="17"/>
      <c r="F58" s="44"/>
      <c r="G58" s="41" t="s">
        <v>230</v>
      </c>
      <c r="H58" s="29">
        <v>81250</v>
      </c>
      <c r="I58" s="30" t="s">
        <v>4</v>
      </c>
      <c r="J58" s="30" t="s">
        <v>1</v>
      </c>
      <c r="K58" s="29">
        <v>6</v>
      </c>
      <c r="L58" s="46" t="s">
        <v>0</v>
      </c>
      <c r="M58" s="30" t="s">
        <v>1</v>
      </c>
      <c r="N58" s="31">
        <v>12</v>
      </c>
      <c r="O58" s="46" t="s">
        <v>2</v>
      </c>
      <c r="P58" s="25"/>
      <c r="Q58" s="25"/>
      <c r="R58" s="25" t="s">
        <v>34</v>
      </c>
      <c r="S58" s="61">
        <f>H58*K58*N58</f>
        <v>5850000</v>
      </c>
    </row>
    <row r="59" spans="1:19" ht="18" customHeight="1">
      <c r="A59" s="11"/>
      <c r="B59" s="17"/>
      <c r="C59" s="39"/>
      <c r="D59" s="11"/>
      <c r="E59" s="17"/>
      <c r="F59" s="44"/>
      <c r="G59" s="41" t="s">
        <v>231</v>
      </c>
      <c r="H59" s="29">
        <v>97180</v>
      </c>
      <c r="I59" s="30" t="s">
        <v>4</v>
      </c>
      <c r="J59" s="30" t="s">
        <v>1</v>
      </c>
      <c r="K59" s="29">
        <v>6</v>
      </c>
      <c r="L59" s="46" t="s">
        <v>0</v>
      </c>
      <c r="M59" s="30" t="s">
        <v>1</v>
      </c>
      <c r="N59" s="31">
        <v>12</v>
      </c>
      <c r="O59" s="46" t="s">
        <v>2</v>
      </c>
      <c r="P59" s="25"/>
      <c r="Q59" s="25"/>
      <c r="R59" s="25" t="s">
        <v>34</v>
      </c>
      <c r="S59" s="61">
        <f>H59*K59*N59</f>
        <v>6996960</v>
      </c>
    </row>
    <row r="60" spans="1:19" ht="19.5" customHeight="1">
      <c r="A60" s="11"/>
      <c r="B60" s="17"/>
      <c r="C60" s="39"/>
      <c r="D60" s="11"/>
      <c r="E60" s="17"/>
      <c r="F60" s="44"/>
      <c r="G60" s="41" t="s">
        <v>232</v>
      </c>
      <c r="H60" s="29">
        <v>179610</v>
      </c>
      <c r="I60" s="30" t="s">
        <v>35</v>
      </c>
      <c r="J60" s="30" t="s">
        <v>1</v>
      </c>
      <c r="K60" s="29">
        <v>6</v>
      </c>
      <c r="L60" s="46" t="s">
        <v>0</v>
      </c>
      <c r="M60" s="30" t="s">
        <v>1</v>
      </c>
      <c r="N60" s="31">
        <v>12</v>
      </c>
      <c r="O60" s="46" t="s">
        <v>2</v>
      </c>
      <c r="P60" s="31"/>
      <c r="Q60" s="46"/>
      <c r="R60" s="25" t="s">
        <v>32</v>
      </c>
      <c r="S60" s="61">
        <f>H60*K60*N60</f>
        <v>12931920</v>
      </c>
    </row>
    <row r="61" spans="1:19" ht="19.5" customHeight="1">
      <c r="A61" s="11"/>
      <c r="B61" s="17"/>
      <c r="C61" s="39"/>
      <c r="D61" s="11"/>
      <c r="E61" s="17"/>
      <c r="F61" s="44"/>
      <c r="G61" s="41" t="s">
        <v>427</v>
      </c>
      <c r="H61" s="29">
        <v>2023340</v>
      </c>
      <c r="I61" s="30" t="s">
        <v>35</v>
      </c>
      <c r="J61" s="30" t="s">
        <v>1</v>
      </c>
      <c r="K61" s="29">
        <v>6</v>
      </c>
      <c r="L61" s="46" t="s">
        <v>0</v>
      </c>
      <c r="M61" s="30" t="s">
        <v>1</v>
      </c>
      <c r="N61" s="31">
        <v>1</v>
      </c>
      <c r="O61" s="46" t="s">
        <v>2</v>
      </c>
      <c r="P61" s="31"/>
      <c r="Q61" s="46"/>
      <c r="R61" s="25" t="s">
        <v>32</v>
      </c>
      <c r="S61" s="61">
        <f>H61*K61*N61</f>
        <v>12140040</v>
      </c>
    </row>
    <row r="62" spans="1:19" ht="19.5" customHeight="1">
      <c r="A62" s="11"/>
      <c r="B62" s="17"/>
      <c r="C62" s="39"/>
      <c r="D62" s="11"/>
      <c r="E62" s="17"/>
      <c r="F62" s="44"/>
      <c r="G62" s="41" t="s">
        <v>513</v>
      </c>
      <c r="H62" s="29">
        <v>47500</v>
      </c>
      <c r="I62" s="30" t="s">
        <v>35</v>
      </c>
      <c r="J62" s="30" t="s">
        <v>1</v>
      </c>
      <c r="K62" s="29">
        <v>6</v>
      </c>
      <c r="L62" s="46" t="s">
        <v>0</v>
      </c>
      <c r="M62" s="30" t="s">
        <v>1</v>
      </c>
      <c r="N62" s="31">
        <v>2</v>
      </c>
      <c r="O62" s="46" t="s">
        <v>2</v>
      </c>
      <c r="P62" s="31"/>
      <c r="Q62" s="46"/>
      <c r="R62" s="25" t="s">
        <v>34</v>
      </c>
      <c r="S62" s="61">
        <f>H62*K62*N62</f>
        <v>570000</v>
      </c>
    </row>
    <row r="63" spans="1:19" ht="18" customHeight="1">
      <c r="A63" s="11"/>
      <c r="B63" s="22"/>
      <c r="C63" s="23"/>
      <c r="D63" s="35"/>
      <c r="E63" s="69"/>
      <c r="F63" s="42"/>
      <c r="G63" s="380" t="s">
        <v>23</v>
      </c>
      <c r="H63" s="380"/>
      <c r="I63" s="380"/>
      <c r="J63" s="380"/>
      <c r="K63" s="380"/>
      <c r="L63" s="380"/>
      <c r="M63" s="380"/>
      <c r="N63" s="380"/>
      <c r="O63" s="380"/>
      <c r="P63" s="380"/>
      <c r="Q63" s="380"/>
      <c r="R63" s="380"/>
      <c r="S63" s="88">
        <f>SUM(S57:S62)</f>
        <v>167568000</v>
      </c>
    </row>
    <row r="64" spans="1:19" ht="19.5" customHeight="1">
      <c r="A64" s="11"/>
      <c r="B64" s="343" t="s">
        <v>246</v>
      </c>
      <c r="C64" s="383"/>
      <c r="D64" s="308">
        <f>D65+D69+D75+D79+D82+D85</f>
        <v>73255</v>
      </c>
      <c r="E64" s="118">
        <f>E65+E69+E75+E79+E82+E85</f>
        <v>78818</v>
      </c>
      <c r="F64" s="309">
        <f>F65+F69+F75+F79+F82+F85</f>
        <v>-5563</v>
      </c>
      <c r="G64" s="135"/>
      <c r="H64" s="136"/>
      <c r="I64" s="137"/>
      <c r="J64" s="137"/>
      <c r="K64" s="136"/>
      <c r="L64" s="138"/>
      <c r="M64" s="137"/>
      <c r="N64" s="139"/>
      <c r="O64" s="138"/>
      <c r="P64" s="139"/>
      <c r="Q64" s="138"/>
      <c r="R64" s="140"/>
      <c r="S64" s="141"/>
    </row>
    <row r="65" spans="1:19" ht="19.5" customHeight="1">
      <c r="A65" s="11"/>
      <c r="B65" s="122"/>
      <c r="C65" s="33" t="s">
        <v>165</v>
      </c>
      <c r="D65" s="9">
        <f>INT(S68/1000)</f>
        <v>12658</v>
      </c>
      <c r="E65" s="12">
        <v>12372</v>
      </c>
      <c r="F65" s="43">
        <f>D65-E65</f>
        <v>286</v>
      </c>
      <c r="G65" s="125"/>
      <c r="H65" s="81"/>
      <c r="I65" s="82"/>
      <c r="J65" s="82"/>
      <c r="K65" s="81"/>
      <c r="L65" s="83"/>
      <c r="M65" s="82"/>
      <c r="N65" s="84"/>
      <c r="O65" s="83"/>
      <c r="P65" s="84"/>
      <c r="Q65" s="83"/>
      <c r="R65" s="15"/>
      <c r="S65" s="85"/>
    </row>
    <row r="66" spans="1:19" ht="19.5" customHeight="1">
      <c r="A66" s="11"/>
      <c r="B66" s="123"/>
      <c r="C66" s="33"/>
      <c r="D66" s="11"/>
      <c r="E66" s="17"/>
      <c r="F66" s="44"/>
      <c r="G66" s="41" t="s">
        <v>166</v>
      </c>
      <c r="H66" s="29">
        <v>759310</v>
      </c>
      <c r="I66" s="30" t="s">
        <v>4</v>
      </c>
      <c r="J66" s="30" t="s">
        <v>1</v>
      </c>
      <c r="K66" s="29">
        <v>12</v>
      </c>
      <c r="L66" s="46" t="s">
        <v>167</v>
      </c>
      <c r="M66" s="30"/>
      <c r="N66" s="31"/>
      <c r="O66" s="46"/>
      <c r="P66" s="31"/>
      <c r="Q66" s="46"/>
      <c r="R66" s="48" t="s">
        <v>86</v>
      </c>
      <c r="S66" s="61">
        <f>H66*K66</f>
        <v>9111720</v>
      </c>
    </row>
    <row r="67" spans="1:19" ht="19.5" customHeight="1">
      <c r="A67" s="11"/>
      <c r="B67" s="123"/>
      <c r="C67" s="33"/>
      <c r="D67" s="11"/>
      <c r="E67" s="17"/>
      <c r="F67" s="44"/>
      <c r="G67" s="41" t="s">
        <v>168</v>
      </c>
      <c r="H67" s="29">
        <v>295530</v>
      </c>
      <c r="I67" s="30" t="s">
        <v>35</v>
      </c>
      <c r="J67" s="30" t="s">
        <v>1</v>
      </c>
      <c r="K67" s="29">
        <v>12</v>
      </c>
      <c r="L67" s="46" t="s">
        <v>167</v>
      </c>
      <c r="M67" s="30"/>
      <c r="N67" s="31"/>
      <c r="O67" s="46"/>
      <c r="P67" s="31"/>
      <c r="Q67" s="46"/>
      <c r="R67" s="48" t="s">
        <v>86</v>
      </c>
      <c r="S67" s="61">
        <f>H67*K67</f>
        <v>3546360</v>
      </c>
    </row>
    <row r="68" spans="1:19" ht="19.5" customHeight="1">
      <c r="A68" s="11"/>
      <c r="B68" s="123"/>
      <c r="C68" s="126"/>
      <c r="D68" s="35"/>
      <c r="E68" s="22"/>
      <c r="F68" s="42"/>
      <c r="G68" s="389" t="s">
        <v>87</v>
      </c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128">
        <f>SUM(S66:S67)</f>
        <v>12658080</v>
      </c>
    </row>
    <row r="69" spans="1:19" ht="18" customHeight="1">
      <c r="A69" s="11"/>
      <c r="B69" s="17"/>
      <c r="C69" s="124" t="s">
        <v>169</v>
      </c>
      <c r="D69" s="9">
        <f>INT(S74/1000)</f>
        <v>6316</v>
      </c>
      <c r="E69" s="68">
        <v>6036</v>
      </c>
      <c r="F69" s="43">
        <f>+D69-E69</f>
        <v>280</v>
      </c>
      <c r="G69" s="40"/>
      <c r="H69" s="15"/>
      <c r="I69" s="15"/>
      <c r="J69" s="15"/>
      <c r="K69" s="15"/>
      <c r="L69" s="32"/>
      <c r="M69" s="15"/>
      <c r="N69" s="15"/>
      <c r="O69" s="32"/>
      <c r="P69" s="15"/>
      <c r="Q69" s="32"/>
      <c r="R69" s="15"/>
      <c r="S69" s="59"/>
    </row>
    <row r="70" spans="1:19" ht="19.5" customHeight="1">
      <c r="A70" s="11"/>
      <c r="B70" s="123"/>
      <c r="C70" s="33"/>
      <c r="D70" s="11"/>
      <c r="E70" s="17"/>
      <c r="F70" s="44"/>
      <c r="G70" s="41" t="s">
        <v>171</v>
      </c>
      <c r="H70" s="29">
        <v>355845</v>
      </c>
      <c r="I70" s="30" t="s">
        <v>4</v>
      </c>
      <c r="J70" s="30" t="s">
        <v>1</v>
      </c>
      <c r="K70" s="29">
        <v>12</v>
      </c>
      <c r="L70" s="46" t="s">
        <v>167</v>
      </c>
      <c r="M70" s="30"/>
      <c r="N70" s="31"/>
      <c r="O70" s="46"/>
      <c r="P70" s="31"/>
      <c r="Q70" s="46"/>
      <c r="R70" s="48" t="s">
        <v>86</v>
      </c>
      <c r="S70" s="61">
        <f>ROUNDDOWN(H70*K70,-1)</f>
        <v>4270140</v>
      </c>
    </row>
    <row r="71" spans="1:19" ht="19.5" customHeight="1">
      <c r="A71" s="11"/>
      <c r="B71" s="123"/>
      <c r="C71" s="33"/>
      <c r="D71" s="11"/>
      <c r="E71" s="17"/>
      <c r="F71" s="44"/>
      <c r="G71" s="41" t="s">
        <v>233</v>
      </c>
      <c r="H71" s="29">
        <v>23300</v>
      </c>
      <c r="I71" s="30" t="s">
        <v>4</v>
      </c>
      <c r="J71" s="30" t="s">
        <v>1</v>
      </c>
      <c r="K71" s="29">
        <v>12</v>
      </c>
      <c r="L71" s="46" t="s">
        <v>167</v>
      </c>
      <c r="M71" s="30"/>
      <c r="N71" s="31"/>
      <c r="O71" s="46"/>
      <c r="P71" s="31"/>
      <c r="Q71" s="46"/>
      <c r="R71" s="48" t="s">
        <v>86</v>
      </c>
      <c r="S71" s="61">
        <f>ROUNDDOWN(H71*K71,-1)</f>
        <v>279600</v>
      </c>
    </row>
    <row r="72" spans="1:19" ht="19.5" customHeight="1">
      <c r="A72" s="11"/>
      <c r="B72" s="123"/>
      <c r="C72" s="33"/>
      <c r="D72" s="11"/>
      <c r="E72" s="17"/>
      <c r="F72" s="44"/>
      <c r="G72" s="41" t="s">
        <v>172</v>
      </c>
      <c r="H72" s="29">
        <v>138100</v>
      </c>
      <c r="I72" s="30" t="s">
        <v>4</v>
      </c>
      <c r="J72" s="30" t="s">
        <v>1</v>
      </c>
      <c r="K72" s="29">
        <v>12</v>
      </c>
      <c r="L72" s="46" t="s">
        <v>167</v>
      </c>
      <c r="M72" s="30"/>
      <c r="N72" s="31"/>
      <c r="O72" s="46"/>
      <c r="P72" s="31"/>
      <c r="Q72" s="46"/>
      <c r="R72" s="48" t="s">
        <v>86</v>
      </c>
      <c r="S72" s="61">
        <f>ROUNDDOWN(H72*K72,-1)</f>
        <v>1657200</v>
      </c>
    </row>
    <row r="73" spans="1:19" ht="19.5" customHeight="1">
      <c r="A73" s="11"/>
      <c r="B73" s="123"/>
      <c r="C73" s="33"/>
      <c r="D73" s="11"/>
      <c r="E73" s="17"/>
      <c r="F73" s="44"/>
      <c r="G73" s="41" t="s">
        <v>234</v>
      </c>
      <c r="H73" s="29">
        <v>9030</v>
      </c>
      <c r="I73" s="30" t="s">
        <v>35</v>
      </c>
      <c r="J73" s="30" t="s">
        <v>1</v>
      </c>
      <c r="K73" s="29">
        <v>12</v>
      </c>
      <c r="L73" s="46" t="s">
        <v>167</v>
      </c>
      <c r="M73" s="30"/>
      <c r="N73" s="31"/>
      <c r="O73" s="46"/>
      <c r="P73" s="31"/>
      <c r="Q73" s="46"/>
      <c r="R73" s="48" t="s">
        <v>86</v>
      </c>
      <c r="S73" s="61">
        <f>H73*K73</f>
        <v>108360</v>
      </c>
    </row>
    <row r="74" spans="1:19" ht="18" customHeight="1">
      <c r="A74" s="11"/>
      <c r="B74" s="17"/>
      <c r="C74" s="23"/>
      <c r="D74" s="35"/>
      <c r="E74" s="22"/>
      <c r="F74" s="42"/>
      <c r="G74" s="380" t="s">
        <v>23</v>
      </c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80"/>
      <c r="S74" s="88">
        <f>ROUNDUP(S70+S71+S72+S73,-3)</f>
        <v>6316000</v>
      </c>
    </row>
    <row r="75" spans="1:19" ht="18" customHeight="1">
      <c r="A75" s="11"/>
      <c r="B75" s="17"/>
      <c r="C75" s="86" t="s">
        <v>170</v>
      </c>
      <c r="D75" s="9">
        <f>INT(S78/1000)</f>
        <v>864</v>
      </c>
      <c r="E75" s="12">
        <v>852</v>
      </c>
      <c r="F75" s="43">
        <f>+D75-E75</f>
        <v>12</v>
      </c>
      <c r="G75" s="40"/>
      <c r="H75" s="15"/>
      <c r="I75" s="15"/>
      <c r="J75" s="15"/>
      <c r="K75" s="15"/>
      <c r="L75" s="32"/>
      <c r="M75" s="15"/>
      <c r="N75" s="15"/>
      <c r="O75" s="32"/>
      <c r="P75" s="15"/>
      <c r="Q75" s="32"/>
      <c r="R75" s="15"/>
      <c r="S75" s="59"/>
    </row>
    <row r="76" spans="1:19" ht="19.5" customHeight="1">
      <c r="A76" s="11"/>
      <c r="B76" s="123"/>
      <c r="C76" s="33"/>
      <c r="D76" s="11"/>
      <c r="E76" s="17"/>
      <c r="F76" s="44"/>
      <c r="G76" s="41" t="s">
        <v>173</v>
      </c>
      <c r="H76" s="29">
        <v>58610</v>
      </c>
      <c r="I76" s="30" t="s">
        <v>4</v>
      </c>
      <c r="J76" s="30" t="s">
        <v>1</v>
      </c>
      <c r="K76" s="29">
        <v>12</v>
      </c>
      <c r="L76" s="46" t="s">
        <v>167</v>
      </c>
      <c r="M76" s="30"/>
      <c r="N76" s="31"/>
      <c r="O76" s="46"/>
      <c r="P76" s="31"/>
      <c r="Q76" s="46"/>
      <c r="R76" s="48" t="s">
        <v>86</v>
      </c>
      <c r="S76" s="61">
        <f>H76*K76</f>
        <v>703320</v>
      </c>
    </row>
    <row r="77" spans="1:19" ht="19.5" customHeight="1">
      <c r="A77" s="11"/>
      <c r="B77" s="123"/>
      <c r="C77" s="33"/>
      <c r="D77" s="11"/>
      <c r="E77" s="17"/>
      <c r="F77" s="44"/>
      <c r="G77" s="41" t="s">
        <v>174</v>
      </c>
      <c r="H77" s="29">
        <v>13415</v>
      </c>
      <c r="I77" s="30" t="s">
        <v>35</v>
      </c>
      <c r="J77" s="30" t="s">
        <v>1</v>
      </c>
      <c r="K77" s="29">
        <v>12</v>
      </c>
      <c r="L77" s="46" t="s">
        <v>167</v>
      </c>
      <c r="M77" s="30"/>
      <c r="N77" s="31"/>
      <c r="O77" s="46"/>
      <c r="P77" s="31"/>
      <c r="Q77" s="46"/>
      <c r="R77" s="48" t="s">
        <v>86</v>
      </c>
      <c r="S77" s="61">
        <f>H77*K77</f>
        <v>160980</v>
      </c>
    </row>
    <row r="78" spans="1:19" ht="18" customHeight="1">
      <c r="A78" s="11"/>
      <c r="B78" s="17"/>
      <c r="C78" s="23"/>
      <c r="D78" s="35"/>
      <c r="E78" s="22"/>
      <c r="F78" s="42"/>
      <c r="G78" s="380" t="s">
        <v>23</v>
      </c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88">
        <f>SUM(S76:S77)</f>
        <v>864300</v>
      </c>
    </row>
    <row r="79" spans="1:19" ht="18" customHeight="1">
      <c r="A79" s="11"/>
      <c r="B79" s="17"/>
      <c r="C79" s="86" t="s">
        <v>235</v>
      </c>
      <c r="D79" s="9">
        <f>INT(S81/1000)</f>
        <v>23200</v>
      </c>
      <c r="E79" s="12">
        <v>29130</v>
      </c>
      <c r="F79" s="43">
        <f>+D79-E79</f>
        <v>-5930</v>
      </c>
      <c r="G79" s="212" t="s">
        <v>236</v>
      </c>
      <c r="H79" s="15"/>
      <c r="I79" s="15"/>
      <c r="J79" s="15"/>
      <c r="K79" s="15"/>
      <c r="L79" s="32"/>
      <c r="M79" s="15"/>
      <c r="N79" s="15"/>
      <c r="O79" s="32"/>
      <c r="P79" s="15"/>
      <c r="Q79" s="32"/>
      <c r="R79" s="48" t="s">
        <v>86</v>
      </c>
      <c r="S79" s="59">
        <v>23200000</v>
      </c>
    </row>
    <row r="80" spans="1:19" ht="12.75" customHeight="1">
      <c r="A80" s="11"/>
      <c r="B80" s="17"/>
      <c r="C80" s="25"/>
      <c r="D80" s="11"/>
      <c r="E80" s="17"/>
      <c r="F80" s="44"/>
      <c r="G80" s="41"/>
      <c r="H80" s="25"/>
      <c r="I80" s="25"/>
      <c r="J80" s="25"/>
      <c r="K80" s="25"/>
      <c r="L80" s="33"/>
      <c r="M80" s="25"/>
      <c r="N80" s="25"/>
      <c r="O80" s="33"/>
      <c r="P80" s="25"/>
      <c r="Q80" s="33"/>
      <c r="R80" s="25"/>
      <c r="S80" s="60"/>
    </row>
    <row r="81" spans="1:19" ht="12.75" customHeight="1">
      <c r="A81" s="11"/>
      <c r="B81" s="17"/>
      <c r="C81" s="23"/>
      <c r="D81" s="35"/>
      <c r="E81" s="22"/>
      <c r="F81" s="42"/>
      <c r="G81" s="380" t="s">
        <v>23</v>
      </c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88">
        <f>SUM(S79:S80)</f>
        <v>23200000</v>
      </c>
    </row>
    <row r="82" spans="1:19" ht="18" customHeight="1">
      <c r="A82" s="11"/>
      <c r="B82" s="17"/>
      <c r="C82" s="86" t="s">
        <v>429</v>
      </c>
      <c r="D82" s="9">
        <f>INT(S84/1000)</f>
        <v>7400</v>
      </c>
      <c r="E82" s="12">
        <v>3800</v>
      </c>
      <c r="F82" s="43">
        <f>+D82-E82</f>
        <v>3600</v>
      </c>
      <c r="G82" s="212" t="s">
        <v>430</v>
      </c>
      <c r="H82" s="15"/>
      <c r="I82" s="15"/>
      <c r="J82" s="15"/>
      <c r="K82" s="15"/>
      <c r="L82" s="32"/>
      <c r="M82" s="15"/>
      <c r="N82" s="15"/>
      <c r="O82" s="32"/>
      <c r="P82" s="15"/>
      <c r="Q82" s="32"/>
      <c r="R82" s="48" t="s">
        <v>32</v>
      </c>
      <c r="S82" s="59">
        <v>7400000</v>
      </c>
    </row>
    <row r="83" spans="1:19" ht="12.75" customHeight="1">
      <c r="A83" s="11"/>
      <c r="B83" s="17"/>
      <c r="C83" s="25"/>
      <c r="D83" s="11"/>
      <c r="E83" s="17"/>
      <c r="F83" s="44"/>
      <c r="G83" s="41"/>
      <c r="H83" s="25"/>
      <c r="I83" s="25"/>
      <c r="J83" s="25"/>
      <c r="K83" s="25"/>
      <c r="L83" s="33"/>
      <c r="M83" s="25"/>
      <c r="N83" s="25"/>
      <c r="O83" s="33"/>
      <c r="P83" s="25"/>
      <c r="Q83" s="33"/>
      <c r="R83" s="25"/>
      <c r="S83" s="60"/>
    </row>
    <row r="84" spans="1:19" ht="12.75" customHeight="1">
      <c r="A84" s="11"/>
      <c r="B84" s="17"/>
      <c r="C84" s="23"/>
      <c r="D84" s="35"/>
      <c r="E84" s="22"/>
      <c r="F84" s="42"/>
      <c r="G84" s="380" t="s">
        <v>23</v>
      </c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88">
        <f>SUM(S82:S83)</f>
        <v>7400000</v>
      </c>
    </row>
    <row r="85" spans="1:19" ht="18" customHeight="1">
      <c r="A85" s="11"/>
      <c r="B85" s="17"/>
      <c r="C85" s="124" t="s">
        <v>428</v>
      </c>
      <c r="D85" s="9">
        <f>INT(S96/1000)</f>
        <v>22817</v>
      </c>
      <c r="E85" s="87">
        <v>26628</v>
      </c>
      <c r="F85" s="43">
        <f>+D85-E85</f>
        <v>-3811</v>
      </c>
      <c r="G85" s="40"/>
      <c r="H85" s="15"/>
      <c r="I85" s="15"/>
      <c r="J85" s="15"/>
      <c r="K85" s="15"/>
      <c r="L85" s="32"/>
      <c r="M85" s="15"/>
      <c r="N85" s="15"/>
      <c r="O85" s="32"/>
      <c r="P85" s="15"/>
      <c r="Q85" s="32"/>
      <c r="R85" s="15"/>
      <c r="S85" s="59"/>
    </row>
    <row r="86" spans="1:19" ht="19.5" customHeight="1">
      <c r="A86" s="11"/>
      <c r="B86" s="17"/>
      <c r="C86" s="33"/>
      <c r="D86" s="11"/>
      <c r="E86" s="17"/>
      <c r="F86" s="44"/>
      <c r="G86" s="41" t="s">
        <v>431</v>
      </c>
      <c r="H86" s="29">
        <v>790140</v>
      </c>
      <c r="I86" s="30" t="s">
        <v>4</v>
      </c>
      <c r="J86" s="30" t="s">
        <v>1</v>
      </c>
      <c r="K86" s="29">
        <v>12</v>
      </c>
      <c r="L86" s="46" t="s">
        <v>167</v>
      </c>
      <c r="M86" s="30"/>
      <c r="N86" s="31"/>
      <c r="O86" s="46"/>
      <c r="P86" s="31"/>
      <c r="Q86" s="46"/>
      <c r="R86" s="48" t="s">
        <v>86</v>
      </c>
      <c r="S86" s="61">
        <f aca="true" t="shared" si="0" ref="S86:S95">H86*K86</f>
        <v>9481680</v>
      </c>
    </row>
    <row r="87" spans="1:19" ht="19.5" customHeight="1">
      <c r="A87" s="11"/>
      <c r="B87" s="17"/>
      <c r="C87" s="33"/>
      <c r="D87" s="11"/>
      <c r="E87" s="17"/>
      <c r="F87" s="44"/>
      <c r="G87" s="41" t="s">
        <v>432</v>
      </c>
      <c r="H87" s="29">
        <v>142730</v>
      </c>
      <c r="I87" s="30" t="s">
        <v>4</v>
      </c>
      <c r="J87" s="30" t="s">
        <v>1</v>
      </c>
      <c r="K87" s="29">
        <v>12</v>
      </c>
      <c r="L87" s="46" t="s">
        <v>40</v>
      </c>
      <c r="M87" s="30"/>
      <c r="N87" s="31"/>
      <c r="O87" s="46"/>
      <c r="P87" s="31"/>
      <c r="Q87" s="46"/>
      <c r="R87" s="48" t="s">
        <v>32</v>
      </c>
      <c r="S87" s="61">
        <f t="shared" si="0"/>
        <v>1712760</v>
      </c>
    </row>
    <row r="88" spans="1:19" ht="19.5" customHeight="1">
      <c r="A88" s="11"/>
      <c r="B88" s="123"/>
      <c r="C88" s="33"/>
      <c r="D88" s="11"/>
      <c r="E88" s="17"/>
      <c r="F88" s="44"/>
      <c r="G88" s="41" t="s">
        <v>433</v>
      </c>
      <c r="H88" s="29">
        <v>323030</v>
      </c>
      <c r="I88" s="30" t="s">
        <v>4</v>
      </c>
      <c r="J88" s="30" t="s">
        <v>1</v>
      </c>
      <c r="K88" s="29">
        <v>12</v>
      </c>
      <c r="L88" s="46" t="s">
        <v>167</v>
      </c>
      <c r="M88" s="30"/>
      <c r="N88" s="31"/>
      <c r="O88" s="46"/>
      <c r="P88" s="31"/>
      <c r="Q88" s="46"/>
      <c r="R88" s="48" t="s">
        <v>86</v>
      </c>
      <c r="S88" s="61">
        <f t="shared" si="0"/>
        <v>3876360</v>
      </c>
    </row>
    <row r="89" spans="1:19" ht="19.5" customHeight="1">
      <c r="A89" s="11"/>
      <c r="B89" s="123"/>
      <c r="C89" s="33"/>
      <c r="D89" s="11"/>
      <c r="E89" s="17"/>
      <c r="F89" s="44"/>
      <c r="G89" s="41" t="s">
        <v>434</v>
      </c>
      <c r="H89" s="29">
        <v>21120</v>
      </c>
      <c r="I89" s="30" t="s">
        <v>4</v>
      </c>
      <c r="J89" s="30" t="s">
        <v>1</v>
      </c>
      <c r="K89" s="29">
        <v>12</v>
      </c>
      <c r="L89" s="46" t="s">
        <v>167</v>
      </c>
      <c r="M89" s="30"/>
      <c r="N89" s="31"/>
      <c r="O89" s="46"/>
      <c r="P89" s="31"/>
      <c r="Q89" s="46"/>
      <c r="R89" s="48" t="s">
        <v>86</v>
      </c>
      <c r="S89" s="61">
        <f t="shared" si="0"/>
        <v>253440</v>
      </c>
    </row>
    <row r="90" spans="1:19" ht="19.5" customHeight="1">
      <c r="A90" s="11"/>
      <c r="B90" s="123"/>
      <c r="C90" s="33"/>
      <c r="D90" s="11"/>
      <c r="E90" s="17"/>
      <c r="F90" s="44"/>
      <c r="G90" s="41" t="s">
        <v>435</v>
      </c>
      <c r="H90" s="29">
        <v>139520</v>
      </c>
      <c r="I90" s="30" t="s">
        <v>4</v>
      </c>
      <c r="J90" s="30" t="s">
        <v>1</v>
      </c>
      <c r="K90" s="29">
        <v>12</v>
      </c>
      <c r="L90" s="46" t="s">
        <v>40</v>
      </c>
      <c r="M90" s="30"/>
      <c r="N90" s="31"/>
      <c r="O90" s="46"/>
      <c r="P90" s="31"/>
      <c r="Q90" s="46"/>
      <c r="R90" s="48" t="s">
        <v>32</v>
      </c>
      <c r="S90" s="61">
        <f t="shared" si="0"/>
        <v>1674240</v>
      </c>
    </row>
    <row r="91" spans="1:19" ht="19.5" customHeight="1">
      <c r="A91" s="11"/>
      <c r="B91" s="123"/>
      <c r="C91" s="33"/>
      <c r="D91" s="11"/>
      <c r="E91" s="17"/>
      <c r="F91" s="44"/>
      <c r="G91" s="41" t="s">
        <v>436</v>
      </c>
      <c r="H91" s="29">
        <v>9130</v>
      </c>
      <c r="I91" s="30" t="s">
        <v>4</v>
      </c>
      <c r="J91" s="30" t="s">
        <v>1</v>
      </c>
      <c r="K91" s="29">
        <v>12</v>
      </c>
      <c r="L91" s="46" t="s">
        <v>40</v>
      </c>
      <c r="M91" s="30"/>
      <c r="N91" s="31"/>
      <c r="O91" s="46"/>
      <c r="P91" s="31"/>
      <c r="Q91" s="46"/>
      <c r="R91" s="48" t="s">
        <v>32</v>
      </c>
      <c r="S91" s="61">
        <f t="shared" si="0"/>
        <v>109560</v>
      </c>
    </row>
    <row r="92" spans="1:19" ht="19.5" customHeight="1">
      <c r="A92" s="11"/>
      <c r="B92" s="123"/>
      <c r="C92" s="33"/>
      <c r="D92" s="11"/>
      <c r="E92" s="17"/>
      <c r="F92" s="44"/>
      <c r="G92" s="41" t="s">
        <v>437</v>
      </c>
      <c r="H92" s="29">
        <v>242515</v>
      </c>
      <c r="I92" s="30" t="s">
        <v>4</v>
      </c>
      <c r="J92" s="30" t="s">
        <v>1</v>
      </c>
      <c r="K92" s="29">
        <v>12</v>
      </c>
      <c r="L92" s="46" t="s">
        <v>167</v>
      </c>
      <c r="M92" s="30"/>
      <c r="N92" s="31"/>
      <c r="O92" s="46"/>
      <c r="P92" s="31"/>
      <c r="Q92" s="46"/>
      <c r="R92" s="48" t="s">
        <v>86</v>
      </c>
      <c r="S92" s="61">
        <f t="shared" si="0"/>
        <v>2910180</v>
      </c>
    </row>
    <row r="93" spans="1:19" ht="19.5" customHeight="1">
      <c r="A93" s="11"/>
      <c r="B93" s="123"/>
      <c r="C93" s="33"/>
      <c r="D93" s="11"/>
      <c r="E93" s="17"/>
      <c r="F93" s="44"/>
      <c r="G93" s="41" t="s">
        <v>438</v>
      </c>
      <c r="H93" s="29">
        <v>51430</v>
      </c>
      <c r="I93" s="30" t="s">
        <v>35</v>
      </c>
      <c r="J93" s="30" t="s">
        <v>1</v>
      </c>
      <c r="K93" s="29">
        <v>12</v>
      </c>
      <c r="L93" s="46" t="s">
        <v>167</v>
      </c>
      <c r="M93" s="30"/>
      <c r="N93" s="31"/>
      <c r="O93" s="46"/>
      <c r="P93" s="31"/>
      <c r="Q93" s="46"/>
      <c r="R93" s="48" t="s">
        <v>86</v>
      </c>
      <c r="S93" s="61">
        <f t="shared" si="0"/>
        <v>617160</v>
      </c>
    </row>
    <row r="94" spans="1:19" ht="19.5" customHeight="1">
      <c r="A94" s="11"/>
      <c r="B94" s="123"/>
      <c r="C94" s="33"/>
      <c r="D94" s="11"/>
      <c r="E94" s="17"/>
      <c r="F94" s="44"/>
      <c r="G94" s="41" t="s">
        <v>439</v>
      </c>
      <c r="H94" s="29">
        <v>146090</v>
      </c>
      <c r="I94" s="30" t="s">
        <v>4</v>
      </c>
      <c r="J94" s="30" t="s">
        <v>1</v>
      </c>
      <c r="K94" s="29">
        <v>12</v>
      </c>
      <c r="L94" s="46" t="s">
        <v>40</v>
      </c>
      <c r="M94" s="30"/>
      <c r="N94" s="31"/>
      <c r="O94" s="46"/>
      <c r="P94" s="31"/>
      <c r="Q94" s="46"/>
      <c r="R94" s="48" t="s">
        <v>32</v>
      </c>
      <c r="S94" s="61">
        <f t="shared" si="0"/>
        <v>1753080</v>
      </c>
    </row>
    <row r="95" spans="1:19" ht="19.5" customHeight="1">
      <c r="A95" s="11"/>
      <c r="B95" s="123"/>
      <c r="C95" s="33"/>
      <c r="D95" s="11"/>
      <c r="E95" s="17"/>
      <c r="F95" s="44"/>
      <c r="G95" s="41" t="s">
        <v>440</v>
      </c>
      <c r="H95" s="29">
        <v>35720</v>
      </c>
      <c r="I95" s="30" t="s">
        <v>35</v>
      </c>
      <c r="J95" s="30" t="s">
        <v>1</v>
      </c>
      <c r="K95" s="29">
        <v>12</v>
      </c>
      <c r="L95" s="46" t="s">
        <v>40</v>
      </c>
      <c r="M95" s="30"/>
      <c r="N95" s="31"/>
      <c r="O95" s="46"/>
      <c r="P95" s="31"/>
      <c r="Q95" s="46"/>
      <c r="R95" s="48" t="s">
        <v>32</v>
      </c>
      <c r="S95" s="61">
        <f t="shared" si="0"/>
        <v>428640</v>
      </c>
    </row>
    <row r="96" spans="1:19" ht="18" customHeight="1">
      <c r="A96" s="11"/>
      <c r="B96" s="17"/>
      <c r="C96" s="23"/>
      <c r="D96" s="35"/>
      <c r="E96" s="22"/>
      <c r="F96" s="42"/>
      <c r="G96" s="380" t="s">
        <v>23</v>
      </c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88">
        <f>SUM(S86:S95)</f>
        <v>22817100</v>
      </c>
    </row>
    <row r="97" spans="1:19" ht="18" customHeight="1">
      <c r="A97" s="145"/>
      <c r="B97" s="343" t="s">
        <v>247</v>
      </c>
      <c r="C97" s="383"/>
      <c r="D97" s="142">
        <f>SUM(D98+D104+D109+D113+D117+D122+D126+D134)</f>
        <v>160378</v>
      </c>
      <c r="E97" s="142">
        <f>SUM(E98+E104+E109+E113+E117+E122+E126+E134)</f>
        <v>172349</v>
      </c>
      <c r="F97" s="142">
        <f>SUM(F98+F104+F109+F113+F117+F122+F126)</f>
        <v>-12341</v>
      </c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7"/>
    </row>
    <row r="98" spans="1:19" ht="18" customHeight="1">
      <c r="A98" s="145"/>
      <c r="B98" s="122"/>
      <c r="C98" s="33" t="s">
        <v>180</v>
      </c>
      <c r="D98" s="11">
        <f>INT(S103/1000)</f>
        <v>82375</v>
      </c>
      <c r="E98" s="67">
        <v>93324</v>
      </c>
      <c r="F98" s="44">
        <f>D98-E98</f>
        <v>-10949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60"/>
    </row>
    <row r="99" spans="1:19" ht="18" customHeight="1">
      <c r="A99" s="11"/>
      <c r="B99" s="17"/>
      <c r="C99" s="39"/>
      <c r="D99" s="11"/>
      <c r="E99" s="17"/>
      <c r="F99" s="44"/>
      <c r="G99" s="41" t="s">
        <v>441</v>
      </c>
      <c r="H99" s="29"/>
      <c r="I99" s="30"/>
      <c r="J99" s="30"/>
      <c r="K99" s="29"/>
      <c r="L99" s="46"/>
      <c r="M99" s="30"/>
      <c r="N99" s="31"/>
      <c r="O99" s="46"/>
      <c r="P99" s="25"/>
      <c r="Q99" s="25"/>
      <c r="R99" s="25"/>
      <c r="S99" s="61"/>
    </row>
    <row r="100" spans="1:19" ht="18" customHeight="1">
      <c r="A100" s="11"/>
      <c r="B100" s="17"/>
      <c r="C100" s="39"/>
      <c r="D100" s="11"/>
      <c r="E100" s="17"/>
      <c r="F100" s="44"/>
      <c r="G100" s="41" t="s">
        <v>402</v>
      </c>
      <c r="H100" s="29">
        <v>1351140</v>
      </c>
      <c r="I100" s="30" t="s">
        <v>4</v>
      </c>
      <c r="J100" s="30" t="s">
        <v>1</v>
      </c>
      <c r="K100" s="29">
        <v>4</v>
      </c>
      <c r="L100" s="46" t="s">
        <v>0</v>
      </c>
      <c r="M100" s="30" t="s">
        <v>1</v>
      </c>
      <c r="N100" s="31">
        <v>12</v>
      </c>
      <c r="O100" s="46" t="s">
        <v>2</v>
      </c>
      <c r="P100" s="25"/>
      <c r="Q100" s="25"/>
      <c r="R100" s="25" t="s">
        <v>32</v>
      </c>
      <c r="S100" s="61">
        <f>H100*K100*N100</f>
        <v>64854720</v>
      </c>
    </row>
    <row r="101" spans="1:19" ht="18" customHeight="1">
      <c r="A101" s="11"/>
      <c r="B101" s="17"/>
      <c r="C101" s="39"/>
      <c r="D101" s="11"/>
      <c r="E101" s="17"/>
      <c r="F101" s="44"/>
      <c r="G101" s="41" t="s">
        <v>442</v>
      </c>
      <c r="H101" s="29"/>
      <c r="I101" s="30"/>
      <c r="J101" s="30"/>
      <c r="K101" s="29"/>
      <c r="L101" s="46"/>
      <c r="M101" s="30"/>
      <c r="N101" s="31"/>
      <c r="O101" s="46"/>
      <c r="P101" s="25"/>
      <c r="Q101" s="25"/>
      <c r="R101" s="25"/>
      <c r="S101" s="61"/>
    </row>
    <row r="102" spans="1:19" ht="18" customHeight="1">
      <c r="A102" s="11"/>
      <c r="B102" s="17"/>
      <c r="C102" s="39"/>
      <c r="D102" s="11"/>
      <c r="E102" s="17"/>
      <c r="F102" s="44"/>
      <c r="G102" s="41" t="s">
        <v>402</v>
      </c>
      <c r="H102" s="29">
        <v>730000</v>
      </c>
      <c r="I102" s="30" t="s">
        <v>4</v>
      </c>
      <c r="J102" s="30" t="s">
        <v>1</v>
      </c>
      <c r="K102" s="29">
        <v>2</v>
      </c>
      <c r="L102" s="46" t="s">
        <v>0</v>
      </c>
      <c r="M102" s="30" t="s">
        <v>1</v>
      </c>
      <c r="N102" s="31">
        <v>12</v>
      </c>
      <c r="O102" s="46" t="s">
        <v>2</v>
      </c>
      <c r="P102" s="25"/>
      <c r="Q102" s="25"/>
      <c r="R102" s="25" t="s">
        <v>32</v>
      </c>
      <c r="S102" s="61">
        <f>H102*K102*N102</f>
        <v>17520000</v>
      </c>
    </row>
    <row r="103" spans="1:19" ht="15" customHeight="1">
      <c r="A103" s="11"/>
      <c r="B103" s="17"/>
      <c r="C103" s="23"/>
      <c r="D103" s="35"/>
      <c r="E103" s="22"/>
      <c r="F103" s="42"/>
      <c r="G103" s="380" t="s">
        <v>23</v>
      </c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88">
        <f>ROUNDUP(S100+S102,-3)</f>
        <v>82375000</v>
      </c>
    </row>
    <row r="104" spans="1:19" ht="18" customHeight="1">
      <c r="A104" s="145"/>
      <c r="B104" s="123"/>
      <c r="C104" s="169" t="s">
        <v>185</v>
      </c>
      <c r="D104" s="11">
        <f>INT(S108/1000)</f>
        <v>5246</v>
      </c>
      <c r="E104" s="67">
        <f>5814+400</f>
        <v>6214</v>
      </c>
      <c r="F104" s="44">
        <f>D104-E104</f>
        <v>-968</v>
      </c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60"/>
    </row>
    <row r="105" spans="1:19" ht="18" customHeight="1">
      <c r="A105" s="145"/>
      <c r="B105" s="123"/>
      <c r="C105" s="33"/>
      <c r="D105" s="11"/>
      <c r="E105" s="67"/>
      <c r="F105" s="44"/>
      <c r="G105" s="41" t="s">
        <v>444</v>
      </c>
      <c r="H105" s="29">
        <v>103880</v>
      </c>
      <c r="I105" s="30" t="s">
        <v>4</v>
      </c>
      <c r="J105" s="30" t="s">
        <v>1</v>
      </c>
      <c r="K105" s="29">
        <v>4</v>
      </c>
      <c r="L105" s="46" t="s">
        <v>0</v>
      </c>
      <c r="M105" s="30" t="s">
        <v>1</v>
      </c>
      <c r="N105" s="31">
        <v>12</v>
      </c>
      <c r="O105" s="46" t="s">
        <v>2</v>
      </c>
      <c r="P105" s="25"/>
      <c r="Q105" s="25"/>
      <c r="R105" s="25" t="s">
        <v>34</v>
      </c>
      <c r="S105" s="61">
        <f>H105*K105*N105</f>
        <v>4986240</v>
      </c>
    </row>
    <row r="106" spans="1:19" ht="18" customHeight="1">
      <c r="A106" s="145"/>
      <c r="B106" s="123"/>
      <c r="C106" s="33"/>
      <c r="D106" s="11"/>
      <c r="E106" s="67"/>
      <c r="F106" s="44"/>
      <c r="G106" s="41" t="s">
        <v>443</v>
      </c>
      <c r="H106" s="29">
        <v>64825</v>
      </c>
      <c r="I106" s="30" t="s">
        <v>4</v>
      </c>
      <c r="J106" s="30" t="s">
        <v>1</v>
      </c>
      <c r="K106" s="29">
        <v>4</v>
      </c>
      <c r="L106" s="46" t="s">
        <v>0</v>
      </c>
      <c r="M106" s="30" t="s">
        <v>1</v>
      </c>
      <c r="N106" s="31">
        <v>1</v>
      </c>
      <c r="O106" s="46" t="s">
        <v>2</v>
      </c>
      <c r="P106" s="25"/>
      <c r="Q106" s="25"/>
      <c r="R106" s="25" t="s">
        <v>32</v>
      </c>
      <c r="S106" s="61">
        <f>H106*K106*N106</f>
        <v>259300</v>
      </c>
    </row>
    <row r="107" spans="1:19" ht="18" customHeight="1">
      <c r="A107" s="145"/>
      <c r="B107" s="123"/>
      <c r="C107" s="33"/>
      <c r="D107" s="11"/>
      <c r="E107" s="67"/>
      <c r="F107" s="44"/>
      <c r="G107" s="41" t="s">
        <v>181</v>
      </c>
      <c r="H107" s="29">
        <v>0</v>
      </c>
      <c r="I107" s="30" t="s">
        <v>4</v>
      </c>
      <c r="J107" s="30" t="s">
        <v>1</v>
      </c>
      <c r="K107" s="311">
        <v>0</v>
      </c>
      <c r="L107" s="310" t="s">
        <v>445</v>
      </c>
      <c r="M107" s="30"/>
      <c r="N107" s="31"/>
      <c r="O107" s="46"/>
      <c r="P107" s="25"/>
      <c r="Q107" s="25"/>
      <c r="R107" s="25" t="s">
        <v>34</v>
      </c>
      <c r="S107" s="61">
        <f>H107*K107</f>
        <v>0</v>
      </c>
    </row>
    <row r="108" spans="1:19" ht="18" customHeight="1">
      <c r="A108" s="11"/>
      <c r="B108" s="17"/>
      <c r="C108" s="23"/>
      <c r="D108" s="35"/>
      <c r="E108" s="22"/>
      <c r="F108" s="42"/>
      <c r="G108" s="380" t="s">
        <v>23</v>
      </c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88">
        <f>ROUNDUP(S105+S106+S107,-3)</f>
        <v>5246000</v>
      </c>
    </row>
    <row r="109" spans="1:19" ht="18" customHeight="1">
      <c r="A109" s="145"/>
      <c r="B109" s="123"/>
      <c r="C109" s="169" t="s">
        <v>237</v>
      </c>
      <c r="D109" s="11">
        <f>INT(S112/1000)</f>
        <v>3360</v>
      </c>
      <c r="E109" s="67">
        <v>3360</v>
      </c>
      <c r="F109" s="44">
        <f>D109-E109</f>
        <v>0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60"/>
    </row>
    <row r="110" spans="1:19" ht="18" customHeight="1">
      <c r="A110" s="145"/>
      <c r="B110" s="123"/>
      <c r="C110" s="33"/>
      <c r="D110" s="11"/>
      <c r="E110" s="67"/>
      <c r="F110" s="44"/>
      <c r="G110" s="41" t="s">
        <v>446</v>
      </c>
      <c r="H110" s="29">
        <v>125000</v>
      </c>
      <c r="I110" s="30" t="s">
        <v>4</v>
      </c>
      <c r="J110" s="30" t="s">
        <v>1</v>
      </c>
      <c r="K110" s="29">
        <v>1</v>
      </c>
      <c r="L110" s="46" t="s">
        <v>0</v>
      </c>
      <c r="M110" s="30" t="s">
        <v>1</v>
      </c>
      <c r="N110" s="31">
        <v>12</v>
      </c>
      <c r="O110" s="46" t="s">
        <v>2</v>
      </c>
      <c r="P110" s="25"/>
      <c r="Q110" s="25"/>
      <c r="R110" s="25" t="s">
        <v>34</v>
      </c>
      <c r="S110" s="61">
        <f>H110*K110*N110</f>
        <v>1500000</v>
      </c>
    </row>
    <row r="111" spans="1:19" ht="18" customHeight="1">
      <c r="A111" s="145"/>
      <c r="B111" s="123"/>
      <c r="C111" s="33"/>
      <c r="D111" s="11"/>
      <c r="E111" s="67"/>
      <c r="F111" s="44"/>
      <c r="G111" s="41" t="s">
        <v>184</v>
      </c>
      <c r="H111" s="29">
        <v>155000</v>
      </c>
      <c r="I111" s="30" t="s">
        <v>4</v>
      </c>
      <c r="J111" s="30" t="s">
        <v>1</v>
      </c>
      <c r="K111" s="29">
        <v>1</v>
      </c>
      <c r="L111" s="46" t="s">
        <v>0</v>
      </c>
      <c r="M111" s="30" t="s">
        <v>1</v>
      </c>
      <c r="N111" s="31">
        <v>12</v>
      </c>
      <c r="O111" s="46" t="s">
        <v>167</v>
      </c>
      <c r="P111" s="25"/>
      <c r="Q111" s="25"/>
      <c r="R111" s="25" t="s">
        <v>34</v>
      </c>
      <c r="S111" s="61">
        <f>H111*K111*N111</f>
        <v>1860000</v>
      </c>
    </row>
    <row r="112" spans="1:19" ht="18" customHeight="1">
      <c r="A112" s="11"/>
      <c r="B112" s="17"/>
      <c r="C112" s="23"/>
      <c r="D112" s="35"/>
      <c r="E112" s="22"/>
      <c r="F112" s="42"/>
      <c r="G112" s="380" t="s">
        <v>23</v>
      </c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380"/>
      <c r="S112" s="88">
        <f>SUM(S110:S111)</f>
        <v>3360000</v>
      </c>
    </row>
    <row r="113" spans="1:19" ht="18" customHeight="1">
      <c r="A113" s="145"/>
      <c r="B113" s="122"/>
      <c r="C113" s="169" t="s">
        <v>238</v>
      </c>
      <c r="D113" s="9">
        <f>INT(S116/1000)</f>
        <v>17095</v>
      </c>
      <c r="E113" s="67">
        <v>15387</v>
      </c>
      <c r="F113" s="44">
        <f>D113-E113</f>
        <v>1708</v>
      </c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60"/>
    </row>
    <row r="114" spans="1:19" ht="19.5" customHeight="1">
      <c r="A114" s="11"/>
      <c r="B114" s="123"/>
      <c r="C114" s="33"/>
      <c r="D114" s="11"/>
      <c r="E114" s="17"/>
      <c r="F114" s="44"/>
      <c r="G114" s="41" t="s">
        <v>177</v>
      </c>
      <c r="H114" s="29">
        <v>130000</v>
      </c>
      <c r="I114" s="30" t="s">
        <v>4</v>
      </c>
      <c r="J114" s="30" t="s">
        <v>1</v>
      </c>
      <c r="K114" s="170">
        <v>1</v>
      </c>
      <c r="L114" s="312" t="s">
        <v>447</v>
      </c>
      <c r="M114" s="77" t="s">
        <v>43</v>
      </c>
      <c r="N114" s="170">
        <v>12</v>
      </c>
      <c r="O114" s="33" t="s">
        <v>40</v>
      </c>
      <c r="P114" s="31"/>
      <c r="Q114" s="46"/>
      <c r="R114" s="48" t="s">
        <v>86</v>
      </c>
      <c r="S114" s="61">
        <f>H114*K114*N114</f>
        <v>1560000</v>
      </c>
    </row>
    <row r="115" spans="1:19" ht="19.5" customHeight="1">
      <c r="A115" s="11"/>
      <c r="B115" s="123"/>
      <c r="C115" s="33"/>
      <c r="D115" s="11"/>
      <c r="E115" s="17"/>
      <c r="F115" s="44"/>
      <c r="G115" s="41" t="s">
        <v>178</v>
      </c>
      <c r="H115" s="29">
        <v>1941850</v>
      </c>
      <c r="I115" s="30" t="s">
        <v>35</v>
      </c>
      <c r="J115" s="30" t="s">
        <v>1</v>
      </c>
      <c r="K115" s="170">
        <v>4</v>
      </c>
      <c r="L115" s="77" t="s">
        <v>88</v>
      </c>
      <c r="M115" s="77" t="s">
        <v>43</v>
      </c>
      <c r="N115" s="170">
        <v>2</v>
      </c>
      <c r="O115" s="33" t="s">
        <v>40</v>
      </c>
      <c r="P115" s="31"/>
      <c r="Q115" s="46"/>
      <c r="R115" s="48" t="s">
        <v>86</v>
      </c>
      <c r="S115" s="61">
        <f>H115*K115*N115</f>
        <v>15534800</v>
      </c>
    </row>
    <row r="116" spans="1:19" ht="18" customHeight="1">
      <c r="A116" s="11"/>
      <c r="B116" s="17"/>
      <c r="C116" s="23"/>
      <c r="D116" s="35"/>
      <c r="E116" s="22"/>
      <c r="F116" s="42"/>
      <c r="G116" s="380" t="s">
        <v>23</v>
      </c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  <c r="R116" s="380"/>
      <c r="S116" s="88">
        <f>ROUNDUP(S114+S115,-3)</f>
        <v>17095000</v>
      </c>
    </row>
    <row r="117" spans="1:19" ht="18" customHeight="1">
      <c r="A117" s="145"/>
      <c r="B117" s="122"/>
      <c r="C117" s="169" t="s">
        <v>239</v>
      </c>
      <c r="D117" s="9">
        <f>INT(S121/1000)</f>
        <v>7038</v>
      </c>
      <c r="E117" s="67">
        <v>6942</v>
      </c>
      <c r="F117" s="44">
        <f>D117-E117</f>
        <v>96</v>
      </c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60"/>
    </row>
    <row r="118" spans="1:19" ht="19.5" customHeight="1">
      <c r="A118" s="11"/>
      <c r="B118" s="123"/>
      <c r="C118" s="33"/>
      <c r="D118" s="11"/>
      <c r="E118" s="17"/>
      <c r="F118" s="44"/>
      <c r="G118" s="41" t="s">
        <v>177</v>
      </c>
      <c r="H118" s="29">
        <v>130000</v>
      </c>
      <c r="I118" s="30" t="s">
        <v>4</v>
      </c>
      <c r="J118" s="30" t="s">
        <v>1</v>
      </c>
      <c r="K118" s="170">
        <v>1</v>
      </c>
      <c r="L118" s="77" t="s">
        <v>88</v>
      </c>
      <c r="M118" s="77" t="s">
        <v>43</v>
      </c>
      <c r="N118" s="170">
        <v>12</v>
      </c>
      <c r="O118" s="33" t="s">
        <v>40</v>
      </c>
      <c r="P118" s="31"/>
      <c r="Q118" s="46"/>
      <c r="R118" s="48" t="s">
        <v>86</v>
      </c>
      <c r="S118" s="61">
        <f>H118*K118*N118</f>
        <v>1560000</v>
      </c>
    </row>
    <row r="119" spans="1:19" ht="19.5" customHeight="1">
      <c r="A119" s="11"/>
      <c r="B119" s="123"/>
      <c r="C119" s="33"/>
      <c r="D119" s="11"/>
      <c r="E119" s="17"/>
      <c r="F119" s="44"/>
      <c r="G119" s="41" t="s">
        <v>178</v>
      </c>
      <c r="H119" s="29">
        <v>1840380</v>
      </c>
      <c r="I119" s="30" t="s">
        <v>35</v>
      </c>
      <c r="J119" s="30" t="s">
        <v>1</v>
      </c>
      <c r="K119" s="170">
        <v>1</v>
      </c>
      <c r="L119" s="77" t="s">
        <v>88</v>
      </c>
      <c r="M119" s="77" t="s">
        <v>43</v>
      </c>
      <c r="N119" s="170">
        <v>2</v>
      </c>
      <c r="O119" s="33" t="s">
        <v>40</v>
      </c>
      <c r="P119" s="31"/>
      <c r="Q119" s="46"/>
      <c r="R119" s="48" t="s">
        <v>86</v>
      </c>
      <c r="S119" s="61">
        <f>H119*K119*N119</f>
        <v>3680760</v>
      </c>
    </row>
    <row r="120" spans="1:19" ht="19.5" customHeight="1">
      <c r="A120" s="11"/>
      <c r="B120" s="123"/>
      <c r="C120" s="33"/>
      <c r="D120" s="11"/>
      <c r="E120" s="17"/>
      <c r="F120" s="44"/>
      <c r="G120" s="41" t="s">
        <v>179</v>
      </c>
      <c r="H120" s="29">
        <v>1797280</v>
      </c>
      <c r="I120" s="30" t="s">
        <v>4</v>
      </c>
      <c r="J120" s="30" t="s">
        <v>1</v>
      </c>
      <c r="K120" s="29">
        <v>1</v>
      </c>
      <c r="L120" s="46" t="s">
        <v>0</v>
      </c>
      <c r="M120" s="30" t="s">
        <v>1</v>
      </c>
      <c r="N120" s="31">
        <v>1</v>
      </c>
      <c r="O120" s="46" t="s">
        <v>6</v>
      </c>
      <c r="P120" s="25"/>
      <c r="Q120" s="25"/>
      <c r="R120" s="25" t="s">
        <v>34</v>
      </c>
      <c r="S120" s="61">
        <f>H120*K120*N120</f>
        <v>1797280</v>
      </c>
    </row>
    <row r="121" spans="1:19" ht="18" customHeight="1">
      <c r="A121" s="11"/>
      <c r="B121" s="17"/>
      <c r="C121" s="23"/>
      <c r="D121" s="35"/>
      <c r="E121" s="22"/>
      <c r="F121" s="42"/>
      <c r="G121" s="380" t="s">
        <v>23</v>
      </c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80"/>
      <c r="S121" s="88">
        <f>SUM(S117:S120)</f>
        <v>7038040</v>
      </c>
    </row>
    <row r="122" spans="1:19" ht="18" customHeight="1">
      <c r="A122" s="145"/>
      <c r="B122" s="123"/>
      <c r="C122" s="169" t="s">
        <v>240</v>
      </c>
      <c r="D122" s="11">
        <f>INT(S125/1000)</f>
        <v>14853</v>
      </c>
      <c r="E122" s="67">
        <v>11526</v>
      </c>
      <c r="F122" s="44">
        <f>D122-E122</f>
        <v>3327</v>
      </c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60"/>
    </row>
    <row r="123" spans="1:19" ht="18" customHeight="1">
      <c r="A123" s="145"/>
      <c r="B123" s="123"/>
      <c r="C123" s="33"/>
      <c r="D123" s="11"/>
      <c r="E123" s="67"/>
      <c r="F123" s="44"/>
      <c r="G123" s="41" t="s">
        <v>241</v>
      </c>
      <c r="H123" s="29">
        <v>3695190</v>
      </c>
      <c r="I123" s="30" t="s">
        <v>4</v>
      </c>
      <c r="J123" s="30" t="s">
        <v>1</v>
      </c>
      <c r="K123" s="29">
        <v>3</v>
      </c>
      <c r="L123" s="46" t="s">
        <v>0</v>
      </c>
      <c r="M123" s="30" t="s">
        <v>1</v>
      </c>
      <c r="N123" s="31">
        <v>1</v>
      </c>
      <c r="O123" s="46" t="s">
        <v>6</v>
      </c>
      <c r="P123" s="25"/>
      <c r="Q123" s="25"/>
      <c r="R123" s="25" t="s">
        <v>34</v>
      </c>
      <c r="S123" s="61">
        <f>H123*K123*N123</f>
        <v>11085570</v>
      </c>
    </row>
    <row r="124" spans="1:19" ht="18" customHeight="1">
      <c r="A124" s="145"/>
      <c r="B124" s="123"/>
      <c r="C124" s="33"/>
      <c r="D124" s="11"/>
      <c r="E124" s="67"/>
      <c r="F124" s="44"/>
      <c r="G124" s="41" t="s">
        <v>242</v>
      </c>
      <c r="H124" s="29">
        <v>3767880</v>
      </c>
      <c r="I124" s="30" t="s">
        <v>4</v>
      </c>
      <c r="J124" s="30" t="s">
        <v>1</v>
      </c>
      <c r="K124" s="29">
        <v>1</v>
      </c>
      <c r="L124" s="46" t="s">
        <v>0</v>
      </c>
      <c r="M124" s="30" t="s">
        <v>1</v>
      </c>
      <c r="N124" s="31">
        <v>1</v>
      </c>
      <c r="O124" s="46" t="s">
        <v>38</v>
      </c>
      <c r="P124" s="25"/>
      <c r="Q124" s="25"/>
      <c r="R124" s="25" t="s">
        <v>34</v>
      </c>
      <c r="S124" s="61">
        <f>H124*K124*N124</f>
        <v>3767880</v>
      </c>
    </row>
    <row r="125" spans="1:19" ht="18" customHeight="1">
      <c r="A125" s="11"/>
      <c r="B125" s="17"/>
      <c r="C125" s="23"/>
      <c r="D125" s="35"/>
      <c r="E125" s="22"/>
      <c r="F125" s="42"/>
      <c r="G125" s="380" t="s">
        <v>23</v>
      </c>
      <c r="H125" s="380"/>
      <c r="I125" s="380"/>
      <c r="J125" s="380"/>
      <c r="K125" s="380"/>
      <c r="L125" s="380"/>
      <c r="M125" s="380"/>
      <c r="N125" s="380"/>
      <c r="O125" s="380"/>
      <c r="P125" s="380"/>
      <c r="Q125" s="380"/>
      <c r="R125" s="380"/>
      <c r="S125" s="88">
        <f>ROUNDDOWN(S123+S124,-3)</f>
        <v>14853000</v>
      </c>
    </row>
    <row r="126" spans="1:19" ht="18" customHeight="1">
      <c r="A126" s="145"/>
      <c r="B126" s="123"/>
      <c r="C126" s="169" t="s">
        <v>243</v>
      </c>
      <c r="D126" s="11">
        <f>INT(S133/1000)</f>
        <v>30041</v>
      </c>
      <c r="E126" s="67">
        <v>35596</v>
      </c>
      <c r="F126" s="44">
        <f>D126-E126</f>
        <v>-5555</v>
      </c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60"/>
    </row>
    <row r="127" spans="1:19" ht="19.5" customHeight="1">
      <c r="A127" s="11"/>
      <c r="B127" s="123"/>
      <c r="C127" s="33"/>
      <c r="D127" s="11"/>
      <c r="E127" s="304" t="s">
        <v>402</v>
      </c>
      <c r="F127" s="44"/>
      <c r="G127" s="41" t="s">
        <v>449</v>
      </c>
      <c r="H127" s="29">
        <v>432100</v>
      </c>
      <c r="I127" s="30" t="s">
        <v>4</v>
      </c>
      <c r="J127" s="30" t="s">
        <v>1</v>
      </c>
      <c r="K127" s="170">
        <v>4</v>
      </c>
      <c r="L127" s="77" t="s">
        <v>88</v>
      </c>
      <c r="M127" s="77" t="s">
        <v>43</v>
      </c>
      <c r="N127" s="170">
        <v>12</v>
      </c>
      <c r="O127" s="33" t="s">
        <v>40</v>
      </c>
      <c r="P127" s="31"/>
      <c r="Q127" s="46"/>
      <c r="R127" s="48" t="s">
        <v>86</v>
      </c>
      <c r="S127" s="61">
        <f aca="true" t="shared" si="1" ref="S127:S132">H127*K127*N127</f>
        <v>20740800</v>
      </c>
    </row>
    <row r="128" spans="1:19" ht="19.5" customHeight="1">
      <c r="A128" s="11"/>
      <c r="B128" s="123"/>
      <c r="C128" s="33"/>
      <c r="D128" s="11"/>
      <c r="E128" s="17"/>
      <c r="F128" s="44"/>
      <c r="G128" s="41" t="s">
        <v>451</v>
      </c>
      <c r="H128" s="29">
        <v>5000000</v>
      </c>
      <c r="I128" s="30" t="s">
        <v>35</v>
      </c>
      <c r="J128" s="30" t="s">
        <v>1</v>
      </c>
      <c r="K128" s="170">
        <v>1</v>
      </c>
      <c r="L128" s="77" t="s">
        <v>41</v>
      </c>
      <c r="M128" s="77" t="s">
        <v>43</v>
      </c>
      <c r="N128" s="170">
        <v>1</v>
      </c>
      <c r="O128" s="169" t="s">
        <v>452</v>
      </c>
      <c r="P128" s="31"/>
      <c r="Q128" s="46"/>
      <c r="R128" s="48" t="s">
        <v>32</v>
      </c>
      <c r="S128" s="61">
        <f t="shared" si="1"/>
        <v>5000000</v>
      </c>
    </row>
    <row r="129" spans="1:19" ht="19.5" customHeight="1">
      <c r="A129" s="11"/>
      <c r="B129" s="123"/>
      <c r="C129" s="33"/>
      <c r="D129" s="11"/>
      <c r="E129" s="17"/>
      <c r="F129" s="44"/>
      <c r="G129" s="41" t="s">
        <v>182</v>
      </c>
      <c r="H129" s="29">
        <v>55000</v>
      </c>
      <c r="I129" s="30" t="s">
        <v>35</v>
      </c>
      <c r="J129" s="30" t="s">
        <v>1</v>
      </c>
      <c r="K129" s="170">
        <v>4</v>
      </c>
      <c r="L129" s="77" t="s">
        <v>41</v>
      </c>
      <c r="M129" s="77" t="s">
        <v>43</v>
      </c>
      <c r="N129" s="170">
        <v>12</v>
      </c>
      <c r="O129" s="33" t="s">
        <v>40</v>
      </c>
      <c r="P129" s="31"/>
      <c r="Q129" s="46"/>
      <c r="R129" s="48" t="s">
        <v>32</v>
      </c>
      <c r="S129" s="61">
        <f>H129*K129*N129</f>
        <v>2640000</v>
      </c>
    </row>
    <row r="130" spans="1:19" ht="19.5" customHeight="1">
      <c r="A130" s="11"/>
      <c r="B130" s="123"/>
      <c r="C130" s="33"/>
      <c r="D130" s="11"/>
      <c r="E130" s="17"/>
      <c r="F130" s="44"/>
      <c r="G130" s="41" t="s">
        <v>183</v>
      </c>
      <c r="H130" s="29">
        <v>55000</v>
      </c>
      <c r="I130" s="30" t="s">
        <v>4</v>
      </c>
      <c r="J130" s="30" t="s">
        <v>1</v>
      </c>
      <c r="K130" s="29">
        <v>1</v>
      </c>
      <c r="L130" s="46" t="s">
        <v>0</v>
      </c>
      <c r="M130" s="30" t="s">
        <v>1</v>
      </c>
      <c r="N130" s="31">
        <v>12</v>
      </c>
      <c r="O130" s="46" t="s">
        <v>2</v>
      </c>
      <c r="P130" s="25"/>
      <c r="Q130" s="25"/>
      <c r="R130" s="25" t="s">
        <v>34</v>
      </c>
      <c r="S130" s="61">
        <f t="shared" si="1"/>
        <v>660000</v>
      </c>
    </row>
    <row r="131" spans="1:19" ht="19.5" customHeight="1">
      <c r="A131" s="11"/>
      <c r="B131" s="123"/>
      <c r="C131" s="33"/>
      <c r="D131" s="11"/>
      <c r="E131" s="17"/>
      <c r="F131" s="44"/>
      <c r="G131" s="41" t="s">
        <v>244</v>
      </c>
      <c r="H131" s="29">
        <v>500000</v>
      </c>
      <c r="I131" s="30" t="s">
        <v>4</v>
      </c>
      <c r="J131" s="30" t="s">
        <v>1</v>
      </c>
      <c r="K131" s="29">
        <v>0</v>
      </c>
      <c r="L131" s="46" t="s">
        <v>0</v>
      </c>
      <c r="M131" s="30" t="s">
        <v>1</v>
      </c>
      <c r="N131" s="31">
        <v>1</v>
      </c>
      <c r="O131" s="46" t="s">
        <v>6</v>
      </c>
      <c r="P131" s="25"/>
      <c r="Q131" s="25"/>
      <c r="R131" s="25" t="s">
        <v>32</v>
      </c>
      <c r="S131" s="61">
        <f t="shared" si="1"/>
        <v>0</v>
      </c>
    </row>
    <row r="132" spans="1:19" ht="19.5" customHeight="1">
      <c r="A132" s="11"/>
      <c r="B132" s="123"/>
      <c r="C132" s="33"/>
      <c r="D132" s="11"/>
      <c r="E132" s="17"/>
      <c r="F132" s="44"/>
      <c r="G132" s="41" t="s">
        <v>450</v>
      </c>
      <c r="H132" s="29">
        <v>500000</v>
      </c>
      <c r="I132" s="30" t="s">
        <v>4</v>
      </c>
      <c r="J132" s="30" t="s">
        <v>1</v>
      </c>
      <c r="K132" s="29">
        <v>2</v>
      </c>
      <c r="L132" s="46" t="s">
        <v>0</v>
      </c>
      <c r="M132" s="30" t="s">
        <v>1</v>
      </c>
      <c r="N132" s="31">
        <v>1</v>
      </c>
      <c r="O132" s="46" t="s">
        <v>6</v>
      </c>
      <c r="P132" s="25"/>
      <c r="Q132" s="25"/>
      <c r="R132" s="25" t="s">
        <v>34</v>
      </c>
      <c r="S132" s="61">
        <f t="shared" si="1"/>
        <v>1000000</v>
      </c>
    </row>
    <row r="133" spans="1:19" ht="18" customHeight="1">
      <c r="A133" s="11"/>
      <c r="B133" s="17"/>
      <c r="C133" s="23"/>
      <c r="D133" s="35"/>
      <c r="E133" s="22"/>
      <c r="F133" s="42"/>
      <c r="G133" s="380" t="s">
        <v>23</v>
      </c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0"/>
      <c r="S133" s="88">
        <f>ROUNDUP(S127+S128+S129+S130+S131+S132,-3)</f>
        <v>30041000</v>
      </c>
    </row>
    <row r="134" spans="1:19" ht="18" customHeight="1">
      <c r="A134" s="145"/>
      <c r="B134" s="123"/>
      <c r="C134" s="169" t="s">
        <v>508</v>
      </c>
      <c r="D134" s="11">
        <f>INT(S136/1000)</f>
        <v>370</v>
      </c>
      <c r="E134" s="67">
        <v>0</v>
      </c>
      <c r="F134" s="44">
        <f>D134-E134</f>
        <v>370</v>
      </c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60"/>
    </row>
    <row r="135" spans="1:19" ht="18" customHeight="1">
      <c r="A135" s="145"/>
      <c r="B135" s="123"/>
      <c r="C135" s="33"/>
      <c r="D135" s="11"/>
      <c r="E135" s="67"/>
      <c r="F135" s="44"/>
      <c r="G135" s="41" t="s">
        <v>509</v>
      </c>
      <c r="H135" s="29">
        <v>46250</v>
      </c>
      <c r="I135" s="30" t="s">
        <v>4</v>
      </c>
      <c r="J135" s="30" t="s">
        <v>1</v>
      </c>
      <c r="K135" s="29">
        <v>4</v>
      </c>
      <c r="L135" s="46" t="s">
        <v>0</v>
      </c>
      <c r="M135" s="30" t="s">
        <v>1</v>
      </c>
      <c r="N135" s="31">
        <v>2</v>
      </c>
      <c r="O135" s="46" t="s">
        <v>2</v>
      </c>
      <c r="P135" s="25"/>
      <c r="Q135" s="25"/>
      <c r="R135" s="25" t="s">
        <v>32</v>
      </c>
      <c r="S135" s="61">
        <f>H135*K135*N135</f>
        <v>370000</v>
      </c>
    </row>
    <row r="136" spans="1:19" ht="18" customHeight="1">
      <c r="A136" s="11"/>
      <c r="B136" s="17"/>
      <c r="C136" s="23"/>
      <c r="D136" s="35"/>
      <c r="E136" s="22"/>
      <c r="F136" s="42"/>
      <c r="G136" s="380" t="s">
        <v>23</v>
      </c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0"/>
      <c r="S136" s="88">
        <f>SUM(S135:S135)</f>
        <v>370000</v>
      </c>
    </row>
    <row r="137" spans="1:19" ht="18" customHeight="1">
      <c r="A137" s="387" t="s">
        <v>267</v>
      </c>
      <c r="B137" s="388"/>
      <c r="C137" s="388"/>
      <c r="D137" s="129">
        <f>D138+D215</f>
        <v>830741.5</v>
      </c>
      <c r="E137" s="149">
        <f>E138+E215</f>
        <v>833896</v>
      </c>
      <c r="F137" s="150">
        <f>F138+F215</f>
        <v>-3154.5</v>
      </c>
      <c r="G137" s="151"/>
      <c r="H137" s="130"/>
      <c r="I137" s="130"/>
      <c r="J137" s="130"/>
      <c r="K137" s="130"/>
      <c r="L137" s="148"/>
      <c r="M137" s="130"/>
      <c r="N137" s="130"/>
      <c r="O137" s="148"/>
      <c r="P137" s="130"/>
      <c r="Q137" s="148"/>
      <c r="R137" s="130"/>
      <c r="S137" s="152"/>
    </row>
    <row r="138" spans="1:19" ht="18" customHeight="1">
      <c r="A138" s="34"/>
      <c r="B138" s="385" t="s">
        <v>74</v>
      </c>
      <c r="C138" s="386"/>
      <c r="D138" s="154">
        <f>D139+D211</f>
        <v>793963.5</v>
      </c>
      <c r="E138" s="154">
        <f>E139+E211</f>
        <v>797086</v>
      </c>
      <c r="F138" s="154">
        <f>F139+F211</f>
        <v>-3122.5</v>
      </c>
      <c r="G138" s="155"/>
      <c r="H138" s="156"/>
      <c r="I138" s="156"/>
      <c r="J138" s="156"/>
      <c r="K138" s="156"/>
      <c r="L138" s="153"/>
      <c r="M138" s="156"/>
      <c r="N138" s="156"/>
      <c r="O138" s="153"/>
      <c r="P138" s="156"/>
      <c r="Q138" s="153"/>
      <c r="R138" s="156"/>
      <c r="S138" s="157"/>
    </row>
    <row r="139" spans="1:19" ht="18" customHeight="1">
      <c r="A139" s="11"/>
      <c r="B139" s="12"/>
      <c r="C139" s="38" t="s">
        <v>75</v>
      </c>
      <c r="D139" s="9">
        <f>ROUNDDOWN(S210/1000,1)</f>
        <v>780287.5</v>
      </c>
      <c r="E139" s="68">
        <f>797086-E211</f>
        <v>783386</v>
      </c>
      <c r="F139" s="43">
        <f>+D139-E139</f>
        <v>-3098.5</v>
      </c>
      <c r="G139" s="40"/>
      <c r="H139" s="15"/>
      <c r="I139" s="15"/>
      <c r="J139" s="15"/>
      <c r="K139" s="15"/>
      <c r="L139" s="32"/>
      <c r="M139" s="15"/>
      <c r="N139" s="15"/>
      <c r="O139" s="32"/>
      <c r="P139" s="15"/>
      <c r="Q139" s="32"/>
      <c r="R139" s="15"/>
      <c r="S139" s="59"/>
    </row>
    <row r="140" spans="1:19" ht="18" customHeight="1">
      <c r="A140" s="11"/>
      <c r="B140" s="17"/>
      <c r="C140" s="39"/>
      <c r="D140" s="11"/>
      <c r="E140" s="67"/>
      <c r="F140" s="44"/>
      <c r="G140" s="91" t="s">
        <v>89</v>
      </c>
      <c r="H140" s="92"/>
      <c r="I140" s="92"/>
      <c r="J140" s="92"/>
      <c r="K140" s="92"/>
      <c r="L140" s="93"/>
      <c r="M140" s="92"/>
      <c r="N140" s="92"/>
      <c r="O140" s="93"/>
      <c r="P140" s="92"/>
      <c r="Q140" s="93"/>
      <c r="R140" s="92"/>
      <c r="S140" s="306"/>
    </row>
    <row r="141" spans="1:19" ht="18" customHeight="1">
      <c r="A141" s="11"/>
      <c r="B141" s="17"/>
      <c r="C141" s="19"/>
      <c r="D141" s="11"/>
      <c r="E141" s="67"/>
      <c r="F141" s="44"/>
      <c r="G141" s="95" t="s">
        <v>45</v>
      </c>
      <c r="H141" s="92">
        <v>1000000</v>
      </c>
      <c r="I141" s="92" t="s">
        <v>3</v>
      </c>
      <c r="J141" s="92" t="s">
        <v>5</v>
      </c>
      <c r="K141" s="92">
        <v>2</v>
      </c>
      <c r="L141" s="93" t="s">
        <v>22</v>
      </c>
      <c r="M141" s="92"/>
      <c r="N141" s="92"/>
      <c r="O141" s="93"/>
      <c r="P141" s="92"/>
      <c r="Q141" s="93"/>
      <c r="R141" s="96" t="s">
        <v>19</v>
      </c>
      <c r="S141" s="65">
        <f aca="true" t="shared" si="2" ref="S141:S146">H141*K141</f>
        <v>2000000</v>
      </c>
    </row>
    <row r="142" spans="1:19" ht="18" customHeight="1">
      <c r="A142" s="11"/>
      <c r="B142" s="17"/>
      <c r="C142" s="19"/>
      <c r="D142" s="11"/>
      <c r="E142" s="67"/>
      <c r="F142" s="44"/>
      <c r="G142" s="95" t="s">
        <v>249</v>
      </c>
      <c r="H142" s="92">
        <v>70000</v>
      </c>
      <c r="I142" s="92" t="s">
        <v>3</v>
      </c>
      <c r="J142" s="92" t="s">
        <v>5</v>
      </c>
      <c r="K142" s="92">
        <v>12</v>
      </c>
      <c r="L142" s="93" t="s">
        <v>22</v>
      </c>
      <c r="M142" s="92"/>
      <c r="N142" s="92"/>
      <c r="O142" s="93"/>
      <c r="P142" s="92"/>
      <c r="Q142" s="93"/>
      <c r="R142" s="96" t="s">
        <v>19</v>
      </c>
      <c r="S142" s="65">
        <f t="shared" si="2"/>
        <v>840000</v>
      </c>
    </row>
    <row r="143" spans="1:19" ht="18" customHeight="1">
      <c r="A143" s="11"/>
      <c r="B143" s="17"/>
      <c r="C143" s="19"/>
      <c r="D143" s="11"/>
      <c r="E143" s="67"/>
      <c r="F143" s="44"/>
      <c r="G143" s="95" t="s">
        <v>186</v>
      </c>
      <c r="H143" s="92">
        <v>40000</v>
      </c>
      <c r="I143" s="92" t="s">
        <v>3</v>
      </c>
      <c r="J143" s="92" t="s">
        <v>5</v>
      </c>
      <c r="K143" s="92">
        <v>12</v>
      </c>
      <c r="L143" s="93" t="s">
        <v>22</v>
      </c>
      <c r="M143" s="92"/>
      <c r="N143" s="92"/>
      <c r="O143" s="93"/>
      <c r="P143" s="92"/>
      <c r="Q143" s="93"/>
      <c r="R143" s="96" t="s">
        <v>19</v>
      </c>
      <c r="S143" s="65">
        <f t="shared" si="2"/>
        <v>480000</v>
      </c>
    </row>
    <row r="144" spans="1:19" ht="18" customHeight="1">
      <c r="A144" s="11"/>
      <c r="B144" s="17"/>
      <c r="C144" s="19"/>
      <c r="D144" s="11"/>
      <c r="E144" s="67"/>
      <c r="F144" s="44"/>
      <c r="G144" s="97" t="s">
        <v>46</v>
      </c>
      <c r="H144" s="92">
        <v>44650</v>
      </c>
      <c r="I144" s="92" t="s">
        <v>3</v>
      </c>
      <c r="J144" s="92" t="s">
        <v>5</v>
      </c>
      <c r="K144" s="92">
        <v>12</v>
      </c>
      <c r="L144" s="93" t="s">
        <v>22</v>
      </c>
      <c r="M144" s="92"/>
      <c r="N144" s="92"/>
      <c r="O144" s="93"/>
      <c r="P144" s="92"/>
      <c r="Q144" s="93"/>
      <c r="R144" s="96" t="s">
        <v>19</v>
      </c>
      <c r="S144" s="65">
        <f t="shared" si="2"/>
        <v>535800</v>
      </c>
    </row>
    <row r="145" spans="1:19" ht="18" customHeight="1">
      <c r="A145" s="11"/>
      <c r="B145" s="17"/>
      <c r="C145" s="19"/>
      <c r="D145" s="11"/>
      <c r="E145" s="67"/>
      <c r="F145" s="44"/>
      <c r="G145" s="95" t="s">
        <v>47</v>
      </c>
      <c r="H145" s="92">
        <v>79000</v>
      </c>
      <c r="I145" s="92" t="s">
        <v>3</v>
      </c>
      <c r="J145" s="92" t="s">
        <v>5</v>
      </c>
      <c r="K145" s="92">
        <v>12</v>
      </c>
      <c r="L145" s="93" t="s">
        <v>22</v>
      </c>
      <c r="M145" s="92"/>
      <c r="N145" s="92"/>
      <c r="O145" s="93"/>
      <c r="P145" s="92"/>
      <c r="Q145" s="93"/>
      <c r="R145" s="96" t="s">
        <v>19</v>
      </c>
      <c r="S145" s="65">
        <f>H145*K145</f>
        <v>948000</v>
      </c>
    </row>
    <row r="146" spans="1:19" ht="18" customHeight="1">
      <c r="A146" s="11"/>
      <c r="B146" s="17"/>
      <c r="C146" s="19"/>
      <c r="D146" s="11"/>
      <c r="E146" s="67"/>
      <c r="F146" s="44"/>
      <c r="G146" s="95" t="s">
        <v>44</v>
      </c>
      <c r="H146" s="92">
        <v>118095</v>
      </c>
      <c r="I146" s="92" t="s">
        <v>35</v>
      </c>
      <c r="J146" s="92" t="s">
        <v>5</v>
      </c>
      <c r="K146" s="92">
        <v>2</v>
      </c>
      <c r="L146" s="93" t="s">
        <v>39</v>
      </c>
      <c r="M146" s="92"/>
      <c r="N146" s="92"/>
      <c r="O146" s="93"/>
      <c r="P146" s="92"/>
      <c r="Q146" s="93"/>
      <c r="R146" s="96" t="s">
        <v>19</v>
      </c>
      <c r="S146" s="65">
        <f t="shared" si="2"/>
        <v>236190</v>
      </c>
    </row>
    <row r="147" spans="1:19" ht="18" customHeight="1">
      <c r="A147" s="11"/>
      <c r="B147" s="17"/>
      <c r="C147" s="19"/>
      <c r="D147" s="11"/>
      <c r="E147" s="67"/>
      <c r="F147" s="44"/>
      <c r="G147" s="91" t="s">
        <v>187</v>
      </c>
      <c r="H147" s="92"/>
      <c r="I147" s="92"/>
      <c r="J147" s="92"/>
      <c r="K147" s="92"/>
      <c r="L147" s="93"/>
      <c r="M147" s="92"/>
      <c r="N147" s="92"/>
      <c r="O147" s="93"/>
      <c r="P147" s="92"/>
      <c r="Q147" s="93"/>
      <c r="R147" s="96"/>
      <c r="S147" s="94"/>
    </row>
    <row r="148" spans="1:19" ht="18" customHeight="1">
      <c r="A148" s="11"/>
      <c r="B148" s="17"/>
      <c r="C148" s="19"/>
      <c r="D148" s="11"/>
      <c r="E148" s="67"/>
      <c r="F148" s="44"/>
      <c r="G148" s="95" t="s">
        <v>250</v>
      </c>
      <c r="H148" s="92">
        <v>250000</v>
      </c>
      <c r="I148" s="92" t="s">
        <v>3</v>
      </c>
      <c r="J148" s="92" t="s">
        <v>5</v>
      </c>
      <c r="K148" s="92">
        <v>6</v>
      </c>
      <c r="L148" s="93" t="s">
        <v>22</v>
      </c>
      <c r="M148" s="92"/>
      <c r="N148" s="92"/>
      <c r="O148" s="93"/>
      <c r="P148" s="92"/>
      <c r="Q148" s="93"/>
      <c r="R148" s="96" t="s">
        <v>19</v>
      </c>
      <c r="S148" s="65">
        <f>H148*K148</f>
        <v>1500000</v>
      </c>
    </row>
    <row r="149" spans="1:19" ht="18" customHeight="1">
      <c r="A149" s="11"/>
      <c r="B149" s="17"/>
      <c r="C149" s="19"/>
      <c r="D149" s="11"/>
      <c r="E149" s="67"/>
      <c r="F149" s="44"/>
      <c r="G149" s="95" t="s">
        <v>251</v>
      </c>
      <c r="H149" s="92">
        <v>166670</v>
      </c>
      <c r="I149" s="92" t="s">
        <v>3</v>
      </c>
      <c r="J149" s="92" t="s">
        <v>5</v>
      </c>
      <c r="K149" s="92">
        <v>12</v>
      </c>
      <c r="L149" s="93" t="s">
        <v>22</v>
      </c>
      <c r="M149" s="92"/>
      <c r="N149" s="92"/>
      <c r="O149" s="93"/>
      <c r="P149" s="92"/>
      <c r="Q149" s="93"/>
      <c r="R149" s="96" t="s">
        <v>19</v>
      </c>
      <c r="S149" s="65">
        <f>H149*K149</f>
        <v>2000040</v>
      </c>
    </row>
    <row r="150" spans="1:19" ht="18" customHeight="1">
      <c r="A150" s="11"/>
      <c r="B150" s="17"/>
      <c r="C150" s="19"/>
      <c r="D150" s="11"/>
      <c r="E150" s="67"/>
      <c r="F150" s="44"/>
      <c r="G150" s="95" t="s">
        <v>188</v>
      </c>
      <c r="H150" s="92">
        <v>62500</v>
      </c>
      <c r="I150" s="92" t="s">
        <v>3</v>
      </c>
      <c r="J150" s="92" t="s">
        <v>5</v>
      </c>
      <c r="K150" s="92">
        <v>12</v>
      </c>
      <c r="L150" s="93" t="s">
        <v>22</v>
      </c>
      <c r="M150" s="92"/>
      <c r="N150" s="92"/>
      <c r="O150" s="93"/>
      <c r="P150" s="92"/>
      <c r="Q150" s="93"/>
      <c r="R150" s="96" t="s">
        <v>19</v>
      </c>
      <c r="S150" s="65">
        <f>H150*K150</f>
        <v>750000</v>
      </c>
    </row>
    <row r="151" spans="1:19" ht="18" customHeight="1">
      <c r="A151" s="11"/>
      <c r="B151" s="17"/>
      <c r="C151" s="19"/>
      <c r="D151" s="11"/>
      <c r="E151" s="67"/>
      <c r="F151" s="44"/>
      <c r="G151" s="91" t="s">
        <v>470</v>
      </c>
      <c r="H151" s="92"/>
      <c r="I151" s="92"/>
      <c r="J151" s="92"/>
      <c r="K151" s="92"/>
      <c r="L151" s="93"/>
      <c r="M151" s="92"/>
      <c r="N151" s="92"/>
      <c r="O151" s="93"/>
      <c r="P151" s="92"/>
      <c r="Q151" s="93"/>
      <c r="R151" s="96"/>
      <c r="S151" s="94"/>
    </row>
    <row r="152" spans="1:19" ht="18" customHeight="1">
      <c r="A152" s="11"/>
      <c r="B152" s="17"/>
      <c r="C152" s="19"/>
      <c r="D152" s="11"/>
      <c r="E152" s="67"/>
      <c r="F152" s="44"/>
      <c r="G152" s="251" t="s">
        <v>471</v>
      </c>
      <c r="H152" s="92">
        <v>27070</v>
      </c>
      <c r="I152" s="92" t="s">
        <v>3</v>
      </c>
      <c r="J152" s="92" t="s">
        <v>5</v>
      </c>
      <c r="K152" s="92">
        <v>1</v>
      </c>
      <c r="L152" s="250" t="s">
        <v>473</v>
      </c>
      <c r="M152" s="92"/>
      <c r="N152" s="92"/>
      <c r="O152" s="93"/>
      <c r="P152" s="92"/>
      <c r="Q152" s="93"/>
      <c r="R152" s="96" t="s">
        <v>19</v>
      </c>
      <c r="S152" s="65">
        <f>H152*K152</f>
        <v>27070</v>
      </c>
    </row>
    <row r="153" spans="1:19" ht="18" customHeight="1">
      <c r="A153" s="11"/>
      <c r="B153" s="17"/>
      <c r="C153" s="19"/>
      <c r="D153" s="11"/>
      <c r="E153" s="67"/>
      <c r="F153" s="44"/>
      <c r="G153" s="251" t="s">
        <v>472</v>
      </c>
      <c r="H153" s="92">
        <v>700000</v>
      </c>
      <c r="I153" s="92" t="s">
        <v>3</v>
      </c>
      <c r="J153" s="92" t="s">
        <v>5</v>
      </c>
      <c r="K153" s="92">
        <v>1</v>
      </c>
      <c r="L153" s="93" t="s">
        <v>22</v>
      </c>
      <c r="M153" s="92"/>
      <c r="N153" s="92"/>
      <c r="O153" s="93"/>
      <c r="P153" s="92"/>
      <c r="Q153" s="93"/>
      <c r="R153" s="96" t="s">
        <v>19</v>
      </c>
      <c r="S153" s="65">
        <f>H153*K153</f>
        <v>700000</v>
      </c>
    </row>
    <row r="154" spans="1:19" ht="18" customHeight="1">
      <c r="A154" s="11"/>
      <c r="B154" s="17"/>
      <c r="C154" s="19"/>
      <c r="D154" s="11"/>
      <c r="E154" s="67"/>
      <c r="F154" s="44"/>
      <c r="G154" s="251" t="s">
        <v>474</v>
      </c>
      <c r="H154" s="92">
        <v>892930</v>
      </c>
      <c r="I154" s="92" t="s">
        <v>3</v>
      </c>
      <c r="J154" s="92" t="s">
        <v>5</v>
      </c>
      <c r="K154" s="92">
        <v>1</v>
      </c>
      <c r="L154" s="250" t="s">
        <v>475</v>
      </c>
      <c r="M154" s="92"/>
      <c r="N154" s="92"/>
      <c r="O154" s="93"/>
      <c r="P154" s="92"/>
      <c r="Q154" s="93"/>
      <c r="R154" s="96" t="s">
        <v>19</v>
      </c>
      <c r="S154" s="65">
        <f>H154*K154</f>
        <v>892930</v>
      </c>
    </row>
    <row r="155" spans="1:19" ht="18" customHeight="1">
      <c r="A155" s="11"/>
      <c r="B155" s="17"/>
      <c r="C155" s="19"/>
      <c r="D155" s="11"/>
      <c r="E155" s="67"/>
      <c r="F155" s="44"/>
      <c r="G155" s="91" t="s">
        <v>189</v>
      </c>
      <c r="H155" s="92"/>
      <c r="I155" s="92"/>
      <c r="J155" s="92"/>
      <c r="K155" s="92"/>
      <c r="L155" s="93"/>
      <c r="M155" s="92"/>
      <c r="N155" s="92"/>
      <c r="O155" s="93"/>
      <c r="P155" s="92"/>
      <c r="Q155" s="93"/>
      <c r="R155" s="96"/>
      <c r="S155" s="94"/>
    </row>
    <row r="156" spans="1:19" ht="18" customHeight="1">
      <c r="A156" s="11"/>
      <c r="B156" s="17"/>
      <c r="C156" s="19"/>
      <c r="D156" s="11"/>
      <c r="E156" s="67"/>
      <c r="F156" s="44"/>
      <c r="G156" s="95" t="s">
        <v>252</v>
      </c>
      <c r="H156" s="92">
        <v>110000</v>
      </c>
      <c r="I156" s="92" t="s">
        <v>3</v>
      </c>
      <c r="J156" s="92" t="s">
        <v>5</v>
      </c>
      <c r="K156" s="92">
        <v>12</v>
      </c>
      <c r="L156" s="93" t="s">
        <v>22</v>
      </c>
      <c r="M156" s="92"/>
      <c r="N156" s="92"/>
      <c r="O156" s="93"/>
      <c r="P156" s="92"/>
      <c r="Q156" s="93"/>
      <c r="R156" s="96" t="s">
        <v>19</v>
      </c>
      <c r="S156" s="65">
        <f>H156*K156</f>
        <v>1320000</v>
      </c>
    </row>
    <row r="157" spans="1:19" ht="18" customHeight="1">
      <c r="A157" s="11"/>
      <c r="B157" s="17"/>
      <c r="C157" s="19"/>
      <c r="D157" s="11"/>
      <c r="E157" s="67"/>
      <c r="F157" s="44"/>
      <c r="G157" s="95" t="s">
        <v>253</v>
      </c>
      <c r="H157" s="92">
        <v>48330</v>
      </c>
      <c r="I157" s="92" t="s">
        <v>3</v>
      </c>
      <c r="J157" s="92" t="s">
        <v>5</v>
      </c>
      <c r="K157" s="92">
        <v>12</v>
      </c>
      <c r="L157" s="93" t="s">
        <v>167</v>
      </c>
      <c r="M157" s="92"/>
      <c r="N157" s="92"/>
      <c r="O157" s="93"/>
      <c r="P157" s="92"/>
      <c r="Q157" s="93"/>
      <c r="R157" s="96" t="s">
        <v>19</v>
      </c>
      <c r="S157" s="65">
        <f>H157*K157</f>
        <v>579960</v>
      </c>
    </row>
    <row r="158" spans="1:19" ht="18" customHeight="1">
      <c r="A158" s="11"/>
      <c r="B158" s="17"/>
      <c r="C158" s="19"/>
      <c r="D158" s="11"/>
      <c r="E158" s="67"/>
      <c r="F158" s="44"/>
      <c r="G158" s="95" t="s">
        <v>254</v>
      </c>
      <c r="H158" s="92">
        <v>44000</v>
      </c>
      <c r="I158" s="92" t="s">
        <v>3</v>
      </c>
      <c r="J158" s="92" t="s">
        <v>5</v>
      </c>
      <c r="K158" s="92">
        <v>12</v>
      </c>
      <c r="L158" s="93" t="s">
        <v>22</v>
      </c>
      <c r="M158" s="92"/>
      <c r="N158" s="92"/>
      <c r="O158" s="93"/>
      <c r="P158" s="92"/>
      <c r="Q158" s="93"/>
      <c r="R158" s="96" t="s">
        <v>19</v>
      </c>
      <c r="S158" s="65">
        <f>H158*K158</f>
        <v>528000</v>
      </c>
    </row>
    <row r="159" spans="1:19" ht="18" customHeight="1">
      <c r="A159" s="11"/>
      <c r="B159" s="17"/>
      <c r="C159" s="19"/>
      <c r="D159" s="11"/>
      <c r="E159" s="67"/>
      <c r="F159" s="44"/>
      <c r="G159" s="95" t="s">
        <v>255</v>
      </c>
      <c r="H159" s="92">
        <v>94300</v>
      </c>
      <c r="I159" s="92" t="s">
        <v>3</v>
      </c>
      <c r="J159" s="92" t="s">
        <v>5</v>
      </c>
      <c r="K159" s="92">
        <v>12</v>
      </c>
      <c r="L159" s="93" t="s">
        <v>22</v>
      </c>
      <c r="M159" s="92"/>
      <c r="N159" s="92"/>
      <c r="O159" s="93"/>
      <c r="P159" s="92"/>
      <c r="Q159" s="93"/>
      <c r="R159" s="96" t="s">
        <v>19</v>
      </c>
      <c r="S159" s="65">
        <f>H159*K159</f>
        <v>1131600</v>
      </c>
    </row>
    <row r="160" spans="1:19" ht="18" customHeight="1">
      <c r="A160" s="11"/>
      <c r="B160" s="17"/>
      <c r="C160" s="19"/>
      <c r="D160" s="11"/>
      <c r="E160" s="67"/>
      <c r="F160" s="44"/>
      <c r="G160" s="91" t="s">
        <v>256</v>
      </c>
      <c r="H160" s="92"/>
      <c r="I160" s="92"/>
      <c r="J160" s="92"/>
      <c r="K160" s="92"/>
      <c r="L160" s="93"/>
      <c r="M160" s="92"/>
      <c r="N160" s="92"/>
      <c r="O160" s="93"/>
      <c r="P160" s="92"/>
      <c r="Q160" s="93"/>
      <c r="R160" s="96"/>
      <c r="S160" s="94"/>
    </row>
    <row r="161" spans="1:19" ht="18" customHeight="1">
      <c r="A161" s="11"/>
      <c r="B161" s="17"/>
      <c r="C161" s="19"/>
      <c r="D161" s="11"/>
      <c r="E161" s="67"/>
      <c r="F161" s="44"/>
      <c r="G161" s="95" t="s">
        <v>257</v>
      </c>
      <c r="H161" s="92">
        <v>1377230</v>
      </c>
      <c r="I161" s="92" t="s">
        <v>3</v>
      </c>
      <c r="J161" s="92" t="s">
        <v>5</v>
      </c>
      <c r="K161" s="29">
        <v>3</v>
      </c>
      <c r="L161" s="310" t="s">
        <v>453</v>
      </c>
      <c r="M161" s="30" t="s">
        <v>1</v>
      </c>
      <c r="N161" s="31">
        <v>12</v>
      </c>
      <c r="O161" s="46" t="s">
        <v>2</v>
      </c>
      <c r="P161" s="92"/>
      <c r="Q161" s="93"/>
      <c r="R161" s="96" t="s">
        <v>19</v>
      </c>
      <c r="S161" s="65">
        <f>H161*K161*N161</f>
        <v>49580280</v>
      </c>
    </row>
    <row r="162" spans="1:19" ht="18" customHeight="1">
      <c r="A162" s="11"/>
      <c r="B162" s="17"/>
      <c r="C162" s="19"/>
      <c r="D162" s="11"/>
      <c r="E162" s="67"/>
      <c r="F162" s="44"/>
      <c r="G162" s="251" t="s">
        <v>476</v>
      </c>
      <c r="H162" s="92">
        <v>560000</v>
      </c>
      <c r="I162" s="92" t="s">
        <v>3</v>
      </c>
      <c r="J162" s="92" t="s">
        <v>5</v>
      </c>
      <c r="K162" s="92">
        <v>1</v>
      </c>
      <c r="L162" s="250" t="s">
        <v>41</v>
      </c>
      <c r="M162" s="30" t="s">
        <v>1</v>
      </c>
      <c r="N162" s="31">
        <v>12</v>
      </c>
      <c r="O162" s="46" t="s">
        <v>2</v>
      </c>
      <c r="P162" s="92"/>
      <c r="Q162" s="93"/>
      <c r="R162" s="96" t="s">
        <v>19</v>
      </c>
      <c r="S162" s="65">
        <f>H162*K162*N162</f>
        <v>6720000</v>
      </c>
    </row>
    <row r="163" spans="1:19" ht="18" customHeight="1">
      <c r="A163" s="11"/>
      <c r="B163" s="17"/>
      <c r="C163" s="19"/>
      <c r="D163" s="11"/>
      <c r="E163" s="67"/>
      <c r="F163" s="44"/>
      <c r="G163" s="251" t="s">
        <v>514</v>
      </c>
      <c r="H163" s="92">
        <v>2500000</v>
      </c>
      <c r="I163" s="92" t="s">
        <v>3</v>
      </c>
      <c r="J163" s="92" t="s">
        <v>5</v>
      </c>
      <c r="K163" s="92">
        <v>1</v>
      </c>
      <c r="L163" s="250" t="s">
        <v>38</v>
      </c>
      <c r="M163" s="92"/>
      <c r="N163" s="92"/>
      <c r="O163" s="93"/>
      <c r="P163" s="92"/>
      <c r="Q163" s="93"/>
      <c r="R163" s="96" t="s">
        <v>19</v>
      </c>
      <c r="S163" s="65">
        <f>H163*K163</f>
        <v>2500000</v>
      </c>
    </row>
    <row r="164" spans="1:19" ht="18" customHeight="1">
      <c r="A164" s="11"/>
      <c r="B164" s="17"/>
      <c r="C164" s="19"/>
      <c r="D164" s="11"/>
      <c r="E164" s="67"/>
      <c r="F164" s="44"/>
      <c r="G164" s="95" t="s">
        <v>258</v>
      </c>
      <c r="H164" s="92">
        <v>1000000</v>
      </c>
      <c r="I164" s="92" t="s">
        <v>3</v>
      </c>
      <c r="J164" s="92" t="s">
        <v>5</v>
      </c>
      <c r="K164" s="92">
        <v>1</v>
      </c>
      <c r="L164" s="250" t="s">
        <v>38</v>
      </c>
      <c r="M164" s="92"/>
      <c r="N164" s="92"/>
      <c r="O164" s="93"/>
      <c r="P164" s="92"/>
      <c r="Q164" s="93"/>
      <c r="R164" s="96" t="s">
        <v>19</v>
      </c>
      <c r="S164" s="65">
        <f>H164*K164</f>
        <v>1000000</v>
      </c>
    </row>
    <row r="165" spans="1:19" ht="18" customHeight="1">
      <c r="A165" s="11"/>
      <c r="B165" s="17"/>
      <c r="C165" s="19"/>
      <c r="D165" s="11"/>
      <c r="E165" s="67"/>
      <c r="F165" s="44"/>
      <c r="G165" s="91" t="s">
        <v>190</v>
      </c>
      <c r="H165" s="92"/>
      <c r="I165" s="92"/>
      <c r="J165" s="92"/>
      <c r="K165" s="92"/>
      <c r="L165" s="93"/>
      <c r="M165" s="92"/>
      <c r="N165" s="92"/>
      <c r="O165" s="93"/>
      <c r="P165" s="92"/>
      <c r="Q165" s="93"/>
      <c r="R165" s="96"/>
      <c r="S165" s="94"/>
    </row>
    <row r="166" spans="1:19" ht="18" customHeight="1">
      <c r="A166" s="11"/>
      <c r="B166" s="17"/>
      <c r="C166" s="19"/>
      <c r="D166" s="11"/>
      <c r="E166" s="67"/>
      <c r="F166" s="44"/>
      <c r="G166" s="251" t="s">
        <v>454</v>
      </c>
      <c r="H166" s="92">
        <v>300000</v>
      </c>
      <c r="I166" s="92" t="s">
        <v>3</v>
      </c>
      <c r="J166" s="92" t="s">
        <v>5</v>
      </c>
      <c r="K166" s="92">
        <v>1</v>
      </c>
      <c r="L166" s="250" t="s">
        <v>398</v>
      </c>
      <c r="M166" s="92"/>
      <c r="N166" s="92"/>
      <c r="O166" s="93"/>
      <c r="P166" s="92"/>
      <c r="Q166" s="93"/>
      <c r="R166" s="96" t="s">
        <v>19</v>
      </c>
      <c r="S166" s="65">
        <f>H166*K166</f>
        <v>300000</v>
      </c>
    </row>
    <row r="167" spans="1:19" ht="18" customHeight="1">
      <c r="A167" s="11"/>
      <c r="B167" s="17"/>
      <c r="C167" s="19"/>
      <c r="D167" s="11"/>
      <c r="E167" s="67"/>
      <c r="F167" s="44"/>
      <c r="G167" s="95" t="s">
        <v>259</v>
      </c>
      <c r="H167" s="92">
        <v>500000</v>
      </c>
      <c r="I167" s="92" t="s">
        <v>3</v>
      </c>
      <c r="J167" s="92" t="s">
        <v>5</v>
      </c>
      <c r="K167" s="92">
        <v>1</v>
      </c>
      <c r="L167" s="250" t="s">
        <v>398</v>
      </c>
      <c r="M167" s="92"/>
      <c r="N167" s="92"/>
      <c r="O167" s="93"/>
      <c r="P167" s="92"/>
      <c r="Q167" s="93"/>
      <c r="R167" s="96" t="s">
        <v>19</v>
      </c>
      <c r="S167" s="65">
        <f>H167*K167</f>
        <v>500000</v>
      </c>
    </row>
    <row r="168" spans="1:19" ht="18" customHeight="1">
      <c r="A168" s="11"/>
      <c r="B168" s="17"/>
      <c r="C168" s="19"/>
      <c r="D168" s="11"/>
      <c r="E168" s="67"/>
      <c r="F168" s="44"/>
      <c r="G168" s="97" t="s">
        <v>191</v>
      </c>
      <c r="H168" s="92">
        <v>800000</v>
      </c>
      <c r="I168" s="92" t="s">
        <v>3</v>
      </c>
      <c r="J168" s="92" t="s">
        <v>5</v>
      </c>
      <c r="K168" s="92">
        <v>1</v>
      </c>
      <c r="L168" s="250" t="s">
        <v>455</v>
      </c>
      <c r="M168" s="92"/>
      <c r="N168" s="92"/>
      <c r="O168" s="93"/>
      <c r="P168" s="92"/>
      <c r="Q168" s="93"/>
      <c r="R168" s="96" t="s">
        <v>19</v>
      </c>
      <c r="S168" s="65">
        <f>H168*K168</f>
        <v>800000</v>
      </c>
    </row>
    <row r="169" spans="1:19" ht="18" customHeight="1">
      <c r="A169" s="11"/>
      <c r="B169" s="17"/>
      <c r="C169" s="19"/>
      <c r="D169" s="11"/>
      <c r="E169" s="67"/>
      <c r="F169" s="44"/>
      <c r="G169" s="91" t="s">
        <v>524</v>
      </c>
      <c r="H169" s="92"/>
      <c r="I169" s="92"/>
      <c r="J169" s="92"/>
      <c r="K169" s="92"/>
      <c r="L169" s="93"/>
      <c r="M169" s="92"/>
      <c r="N169" s="92"/>
      <c r="O169" s="93"/>
      <c r="P169" s="92"/>
      <c r="Q169" s="93"/>
      <c r="R169" s="96"/>
      <c r="S169" s="94"/>
    </row>
    <row r="170" spans="1:19" ht="18" customHeight="1">
      <c r="A170" s="11"/>
      <c r="B170" s="17"/>
      <c r="C170" s="19"/>
      <c r="D170" s="11"/>
      <c r="E170" s="67"/>
      <c r="F170" s="44"/>
      <c r="G170" s="251" t="s">
        <v>525</v>
      </c>
      <c r="H170" s="92">
        <v>55000</v>
      </c>
      <c r="I170" s="92" t="s">
        <v>3</v>
      </c>
      <c r="J170" s="92" t="s">
        <v>5</v>
      </c>
      <c r="K170" s="92">
        <v>2</v>
      </c>
      <c r="L170" s="250" t="s">
        <v>526</v>
      </c>
      <c r="M170" s="30" t="s">
        <v>1</v>
      </c>
      <c r="N170" s="31">
        <v>11</v>
      </c>
      <c r="O170" s="46" t="s">
        <v>2</v>
      </c>
      <c r="P170" s="92"/>
      <c r="Q170" s="93"/>
      <c r="R170" s="96" t="s">
        <v>19</v>
      </c>
      <c r="S170" s="65">
        <f>H170*K170*N170</f>
        <v>1210000</v>
      </c>
    </row>
    <row r="171" spans="1:19" ht="18" customHeight="1">
      <c r="A171" s="11"/>
      <c r="B171" s="17"/>
      <c r="C171" s="19"/>
      <c r="D171" s="11"/>
      <c r="E171" s="67"/>
      <c r="F171" s="44"/>
      <c r="G171" s="251" t="s">
        <v>525</v>
      </c>
      <c r="H171" s="92">
        <v>77000</v>
      </c>
      <c r="I171" s="92" t="s">
        <v>3</v>
      </c>
      <c r="J171" s="92" t="s">
        <v>5</v>
      </c>
      <c r="K171" s="92">
        <v>1</v>
      </c>
      <c r="L171" s="250" t="s">
        <v>526</v>
      </c>
      <c r="M171" s="30" t="s">
        <v>1</v>
      </c>
      <c r="N171" s="31">
        <v>1</v>
      </c>
      <c r="O171" s="46" t="s">
        <v>2</v>
      </c>
      <c r="P171" s="92"/>
      <c r="Q171" s="93"/>
      <c r="R171" s="96" t="s">
        <v>19</v>
      </c>
      <c r="S171" s="65">
        <f>H171*K171*N171</f>
        <v>77000</v>
      </c>
    </row>
    <row r="172" spans="1:19" ht="18" customHeight="1">
      <c r="A172" s="11"/>
      <c r="B172" s="17"/>
      <c r="C172" s="19"/>
      <c r="D172" s="11"/>
      <c r="E172" s="67"/>
      <c r="F172" s="44"/>
      <c r="G172" s="91" t="s">
        <v>268</v>
      </c>
      <c r="H172" s="92"/>
      <c r="I172" s="92"/>
      <c r="J172" s="92"/>
      <c r="K172" s="92"/>
      <c r="L172" s="93"/>
      <c r="M172" s="92"/>
      <c r="N172" s="92"/>
      <c r="O172" s="93"/>
      <c r="P172" s="92"/>
      <c r="Q172" s="93"/>
      <c r="R172" s="96"/>
      <c r="S172" s="94"/>
    </row>
    <row r="173" spans="1:19" ht="18" customHeight="1">
      <c r="A173" s="11"/>
      <c r="B173" s="17"/>
      <c r="C173" s="19"/>
      <c r="D173" s="11"/>
      <c r="E173" s="67"/>
      <c r="F173" s="44"/>
      <c r="G173" s="95" t="s">
        <v>192</v>
      </c>
      <c r="H173" s="92">
        <v>866620</v>
      </c>
      <c r="I173" s="92" t="s">
        <v>3</v>
      </c>
      <c r="J173" s="92" t="s">
        <v>5</v>
      </c>
      <c r="K173" s="92">
        <v>12</v>
      </c>
      <c r="L173" s="250" t="s">
        <v>40</v>
      </c>
      <c r="M173" s="92"/>
      <c r="N173" s="92"/>
      <c r="O173" s="93"/>
      <c r="P173" s="92"/>
      <c r="Q173" s="93"/>
      <c r="R173" s="96" t="s">
        <v>19</v>
      </c>
      <c r="S173" s="65">
        <f>H173*K173</f>
        <v>10399440</v>
      </c>
    </row>
    <row r="174" spans="1:19" ht="18" customHeight="1">
      <c r="A174" s="11"/>
      <c r="B174" s="17"/>
      <c r="C174" s="19"/>
      <c r="D174" s="11"/>
      <c r="E174" s="67"/>
      <c r="F174" s="44"/>
      <c r="G174" s="251" t="s">
        <v>456</v>
      </c>
      <c r="H174" s="92">
        <v>300280</v>
      </c>
      <c r="I174" s="92" t="s">
        <v>3</v>
      </c>
      <c r="J174" s="92" t="s">
        <v>5</v>
      </c>
      <c r="K174" s="92">
        <v>2</v>
      </c>
      <c r="L174" s="250" t="s">
        <v>38</v>
      </c>
      <c r="M174" s="92"/>
      <c r="N174" s="92"/>
      <c r="O174" s="93"/>
      <c r="P174" s="92"/>
      <c r="Q174" s="93"/>
      <c r="R174" s="96" t="s">
        <v>19</v>
      </c>
      <c r="S174" s="65">
        <f>H174*K174</f>
        <v>600560</v>
      </c>
    </row>
    <row r="175" spans="1:19" ht="18" customHeight="1">
      <c r="A175" s="11"/>
      <c r="B175" s="17"/>
      <c r="C175" s="19"/>
      <c r="D175" s="11"/>
      <c r="E175" s="67"/>
      <c r="F175" s="44"/>
      <c r="G175" s="91" t="s">
        <v>193</v>
      </c>
      <c r="H175" s="92"/>
      <c r="I175" s="92"/>
      <c r="J175" s="92"/>
      <c r="K175" s="92"/>
      <c r="L175" s="93"/>
      <c r="M175" s="92"/>
      <c r="N175" s="92"/>
      <c r="O175" s="93"/>
      <c r="P175" s="92"/>
      <c r="Q175" s="93"/>
      <c r="R175" s="96"/>
      <c r="S175" s="94"/>
    </row>
    <row r="176" spans="1:19" ht="18" customHeight="1">
      <c r="A176" s="11"/>
      <c r="B176" s="17"/>
      <c r="C176" s="19"/>
      <c r="D176" s="11"/>
      <c r="E176" s="67"/>
      <c r="F176" s="44"/>
      <c r="G176" s="95" t="s">
        <v>194</v>
      </c>
      <c r="H176" s="92">
        <v>2000000</v>
      </c>
      <c r="I176" s="92" t="s">
        <v>3</v>
      </c>
      <c r="J176" s="92" t="s">
        <v>5</v>
      </c>
      <c r="K176" s="92">
        <v>1</v>
      </c>
      <c r="L176" s="250" t="s">
        <v>398</v>
      </c>
      <c r="M176" s="92"/>
      <c r="N176" s="92"/>
      <c r="O176" s="93"/>
      <c r="P176" s="92"/>
      <c r="Q176" s="93"/>
      <c r="R176" s="96" t="s">
        <v>19</v>
      </c>
      <c r="S176" s="65">
        <f>H176*K176</f>
        <v>2000000</v>
      </c>
    </row>
    <row r="177" spans="1:19" ht="18" customHeight="1">
      <c r="A177" s="11"/>
      <c r="B177" s="17"/>
      <c r="C177" s="19"/>
      <c r="D177" s="11"/>
      <c r="E177" s="67"/>
      <c r="F177" s="44"/>
      <c r="G177" s="95" t="s">
        <v>195</v>
      </c>
      <c r="H177" s="92">
        <v>1620000</v>
      </c>
      <c r="I177" s="92" t="s">
        <v>3</v>
      </c>
      <c r="J177" s="92" t="s">
        <v>5</v>
      </c>
      <c r="K177" s="92">
        <v>1</v>
      </c>
      <c r="L177" s="250" t="s">
        <v>398</v>
      </c>
      <c r="M177" s="92"/>
      <c r="N177" s="92"/>
      <c r="O177" s="93"/>
      <c r="P177" s="92"/>
      <c r="Q177" s="93"/>
      <c r="R177" s="96" t="s">
        <v>19</v>
      </c>
      <c r="S177" s="65">
        <f>H177*K177</f>
        <v>1620000</v>
      </c>
    </row>
    <row r="178" spans="1:19" ht="18" customHeight="1">
      <c r="A178" s="11"/>
      <c r="B178" s="17"/>
      <c r="C178" s="19"/>
      <c r="D178" s="11"/>
      <c r="E178" s="67"/>
      <c r="F178" s="44"/>
      <c r="G178" s="91" t="s">
        <v>515</v>
      </c>
      <c r="H178" s="92">
        <v>260000</v>
      </c>
      <c r="I178" s="92" t="s">
        <v>35</v>
      </c>
      <c r="J178" s="92" t="s">
        <v>196</v>
      </c>
      <c r="K178" s="92">
        <v>12</v>
      </c>
      <c r="L178" s="93" t="s">
        <v>40</v>
      </c>
      <c r="M178" s="92"/>
      <c r="N178" s="92"/>
      <c r="O178" s="93"/>
      <c r="P178" s="92"/>
      <c r="Q178" s="93"/>
      <c r="R178" s="96"/>
      <c r="S178" s="65">
        <f>H178*K178</f>
        <v>3120000</v>
      </c>
    </row>
    <row r="179" spans="1:19" ht="18" customHeight="1">
      <c r="A179" s="11"/>
      <c r="B179" s="17"/>
      <c r="C179" s="19"/>
      <c r="D179" s="11"/>
      <c r="E179" s="67"/>
      <c r="F179" s="44"/>
      <c r="G179" s="91" t="s">
        <v>197</v>
      </c>
      <c r="H179" s="92"/>
      <c r="I179" s="92"/>
      <c r="J179" s="92"/>
      <c r="K179" s="92"/>
      <c r="L179" s="93"/>
      <c r="M179" s="92"/>
      <c r="N179" s="92"/>
      <c r="O179" s="93"/>
      <c r="P179" s="92"/>
      <c r="Q179" s="93"/>
      <c r="R179" s="96"/>
      <c r="S179" s="94"/>
    </row>
    <row r="180" spans="1:19" ht="18" customHeight="1">
      <c r="A180" s="11"/>
      <c r="B180" s="17"/>
      <c r="C180" s="19"/>
      <c r="D180" s="11"/>
      <c r="E180" s="67"/>
      <c r="F180" s="44"/>
      <c r="G180" s="95" t="s">
        <v>260</v>
      </c>
      <c r="H180" s="92">
        <v>780000</v>
      </c>
      <c r="I180" s="92" t="s">
        <v>3</v>
      </c>
      <c r="J180" s="92" t="s">
        <v>5</v>
      </c>
      <c r="K180" s="92">
        <v>1</v>
      </c>
      <c r="L180" s="250" t="s">
        <v>38</v>
      </c>
      <c r="M180" s="92"/>
      <c r="N180" s="92"/>
      <c r="O180" s="93"/>
      <c r="P180" s="92"/>
      <c r="Q180" s="93"/>
      <c r="R180" s="96" t="s">
        <v>19</v>
      </c>
      <c r="S180" s="65">
        <f aca="true" t="shared" si="3" ref="S180:S186">H180*K180</f>
        <v>780000</v>
      </c>
    </row>
    <row r="181" spans="1:19" ht="18" customHeight="1">
      <c r="A181" s="11"/>
      <c r="B181" s="17"/>
      <c r="C181" s="19"/>
      <c r="D181" s="11"/>
      <c r="E181" s="67"/>
      <c r="F181" s="44"/>
      <c r="G181" s="95" t="s">
        <v>261</v>
      </c>
      <c r="H181" s="92">
        <v>300000</v>
      </c>
      <c r="I181" s="92" t="s">
        <v>3</v>
      </c>
      <c r="J181" s="92" t="s">
        <v>5</v>
      </c>
      <c r="K181" s="92">
        <v>1</v>
      </c>
      <c r="L181" s="93" t="s">
        <v>22</v>
      </c>
      <c r="M181" s="92"/>
      <c r="N181" s="92"/>
      <c r="O181" s="93"/>
      <c r="P181" s="92"/>
      <c r="Q181" s="93"/>
      <c r="R181" s="96" t="s">
        <v>19</v>
      </c>
      <c r="S181" s="65">
        <f t="shared" si="3"/>
        <v>300000</v>
      </c>
    </row>
    <row r="182" spans="1:19" ht="18" customHeight="1">
      <c r="A182" s="11"/>
      <c r="B182" s="17"/>
      <c r="C182" s="19"/>
      <c r="D182" s="11"/>
      <c r="E182" s="67"/>
      <c r="F182" s="44"/>
      <c r="G182" s="95" t="s">
        <v>198</v>
      </c>
      <c r="H182" s="92">
        <v>50000</v>
      </c>
      <c r="I182" s="92" t="s">
        <v>3</v>
      </c>
      <c r="J182" s="92" t="s">
        <v>5</v>
      </c>
      <c r="K182" s="92">
        <v>1</v>
      </c>
      <c r="L182" s="93" t="s">
        <v>22</v>
      </c>
      <c r="M182" s="92"/>
      <c r="N182" s="92"/>
      <c r="O182" s="93"/>
      <c r="P182" s="92"/>
      <c r="Q182" s="93"/>
      <c r="R182" s="96" t="s">
        <v>19</v>
      </c>
      <c r="S182" s="65">
        <f t="shared" si="3"/>
        <v>50000</v>
      </c>
    </row>
    <row r="183" spans="1:19" ht="18" customHeight="1">
      <c r="A183" s="11"/>
      <c r="B183" s="17"/>
      <c r="C183" s="19"/>
      <c r="D183" s="11"/>
      <c r="E183" s="67"/>
      <c r="F183" s="44"/>
      <c r="G183" s="95" t="s">
        <v>199</v>
      </c>
      <c r="H183" s="92">
        <v>20000</v>
      </c>
      <c r="I183" s="92" t="s">
        <v>3</v>
      </c>
      <c r="J183" s="92" t="s">
        <v>5</v>
      </c>
      <c r="K183" s="92">
        <v>18</v>
      </c>
      <c r="L183" s="93" t="s">
        <v>41</v>
      </c>
      <c r="M183" s="30" t="s">
        <v>1</v>
      </c>
      <c r="N183" s="31">
        <v>2</v>
      </c>
      <c r="O183" s="46" t="s">
        <v>2</v>
      </c>
      <c r="P183" s="92"/>
      <c r="Q183" s="93"/>
      <c r="R183" s="96" t="s">
        <v>19</v>
      </c>
      <c r="S183" s="65">
        <f>H183*K183*N183</f>
        <v>720000</v>
      </c>
    </row>
    <row r="184" spans="1:19" ht="18" customHeight="1">
      <c r="A184" s="11"/>
      <c r="B184" s="17"/>
      <c r="C184" s="19"/>
      <c r="D184" s="11"/>
      <c r="E184" s="67"/>
      <c r="F184" s="44"/>
      <c r="G184" s="251" t="s">
        <v>477</v>
      </c>
      <c r="H184" s="92">
        <v>1300000</v>
      </c>
      <c r="I184" s="92" t="s">
        <v>3</v>
      </c>
      <c r="J184" s="92" t="s">
        <v>5</v>
      </c>
      <c r="K184" s="92">
        <v>1</v>
      </c>
      <c r="L184" s="250" t="s">
        <v>475</v>
      </c>
      <c r="M184" s="30"/>
      <c r="N184" s="31"/>
      <c r="O184" s="46"/>
      <c r="P184" s="92"/>
      <c r="Q184" s="93"/>
      <c r="R184" s="96" t="s">
        <v>19</v>
      </c>
      <c r="S184" s="65">
        <f>ROUNDUP(H184*K184,-3)</f>
        <v>1300000</v>
      </c>
    </row>
    <row r="185" spans="1:19" ht="18" customHeight="1">
      <c r="A185" s="11"/>
      <c r="B185" s="17"/>
      <c r="C185" s="19"/>
      <c r="D185" s="11"/>
      <c r="E185" s="67"/>
      <c r="F185" s="44"/>
      <c r="G185" s="91" t="s">
        <v>200</v>
      </c>
      <c r="H185" s="92">
        <v>320000</v>
      </c>
      <c r="I185" s="92" t="s">
        <v>35</v>
      </c>
      <c r="J185" s="92" t="s">
        <v>196</v>
      </c>
      <c r="K185" s="92">
        <v>12</v>
      </c>
      <c r="L185" s="93" t="s">
        <v>167</v>
      </c>
      <c r="M185" s="92"/>
      <c r="N185" s="92"/>
      <c r="O185" s="210"/>
      <c r="P185" s="209"/>
      <c r="Q185" s="210"/>
      <c r="R185" s="211"/>
      <c r="S185" s="65">
        <f>ROUNDUP(H185*K185,-3)</f>
        <v>3840000</v>
      </c>
    </row>
    <row r="186" spans="1:19" ht="18" customHeight="1">
      <c r="A186" s="11"/>
      <c r="B186" s="17"/>
      <c r="C186" s="19"/>
      <c r="D186" s="11"/>
      <c r="E186" s="67"/>
      <c r="F186" s="44"/>
      <c r="G186" s="91" t="s">
        <v>201</v>
      </c>
      <c r="H186" s="92">
        <v>700000</v>
      </c>
      <c r="I186" s="92" t="s">
        <v>35</v>
      </c>
      <c r="J186" s="92" t="s">
        <v>196</v>
      </c>
      <c r="K186" s="92">
        <v>1</v>
      </c>
      <c r="L186" s="93" t="s">
        <v>398</v>
      </c>
      <c r="M186" s="92"/>
      <c r="N186" s="92"/>
      <c r="O186" s="210"/>
      <c r="P186" s="209"/>
      <c r="Q186" s="210"/>
      <c r="R186" s="211"/>
      <c r="S186" s="65">
        <f t="shared" si="3"/>
        <v>700000</v>
      </c>
    </row>
    <row r="187" spans="1:19" ht="18" customHeight="1">
      <c r="A187" s="11"/>
      <c r="B187" s="17"/>
      <c r="C187" s="19"/>
      <c r="D187" s="11"/>
      <c r="E187" s="67"/>
      <c r="F187" s="44"/>
      <c r="G187" s="91" t="s">
        <v>202</v>
      </c>
      <c r="H187" s="92"/>
      <c r="I187" s="92"/>
      <c r="J187" s="92"/>
      <c r="K187" s="92"/>
      <c r="L187" s="93"/>
      <c r="M187" s="92"/>
      <c r="N187" s="92"/>
      <c r="O187" s="93"/>
      <c r="P187" s="92"/>
      <c r="Q187" s="93"/>
      <c r="R187" s="96"/>
      <c r="S187" s="94"/>
    </row>
    <row r="188" spans="1:19" ht="18" customHeight="1">
      <c r="A188" s="11"/>
      <c r="B188" s="17"/>
      <c r="C188" s="19"/>
      <c r="D188" s="11"/>
      <c r="E188" s="67"/>
      <c r="F188" s="44"/>
      <c r="G188" s="95" t="s">
        <v>262</v>
      </c>
      <c r="H188" s="92">
        <v>3339700</v>
      </c>
      <c r="I188" s="92" t="s">
        <v>3</v>
      </c>
      <c r="J188" s="92" t="s">
        <v>5</v>
      </c>
      <c r="K188" s="92">
        <v>1</v>
      </c>
      <c r="L188" s="250" t="s">
        <v>398</v>
      </c>
      <c r="M188" s="92"/>
      <c r="N188" s="92"/>
      <c r="O188" s="93"/>
      <c r="P188" s="92"/>
      <c r="Q188" s="93"/>
      <c r="R188" s="96" t="s">
        <v>19</v>
      </c>
      <c r="S188" s="65">
        <f aca="true" t="shared" si="4" ref="S188:S193">H188*K188</f>
        <v>3339700</v>
      </c>
    </row>
    <row r="189" spans="1:19" ht="18" customHeight="1">
      <c r="A189" s="11"/>
      <c r="B189" s="17"/>
      <c r="C189" s="19"/>
      <c r="D189" s="11"/>
      <c r="E189" s="67"/>
      <c r="F189" s="44"/>
      <c r="G189" s="95" t="s">
        <v>203</v>
      </c>
      <c r="H189" s="92">
        <v>680150</v>
      </c>
      <c r="I189" s="92" t="s">
        <v>3</v>
      </c>
      <c r="J189" s="92" t="s">
        <v>5</v>
      </c>
      <c r="K189" s="92">
        <v>2</v>
      </c>
      <c r="L189" s="93" t="s">
        <v>38</v>
      </c>
      <c r="M189" s="92"/>
      <c r="N189" s="92"/>
      <c r="O189" s="93"/>
      <c r="P189" s="92"/>
      <c r="Q189" s="93"/>
      <c r="R189" s="96" t="s">
        <v>19</v>
      </c>
      <c r="S189" s="65">
        <f t="shared" si="4"/>
        <v>1360300</v>
      </c>
    </row>
    <row r="190" spans="1:19" ht="18" customHeight="1">
      <c r="A190" s="11"/>
      <c r="B190" s="17"/>
      <c r="C190" s="19"/>
      <c r="D190" s="11"/>
      <c r="E190" s="67"/>
      <c r="F190" s="44"/>
      <c r="G190" s="95" t="s">
        <v>263</v>
      </c>
      <c r="H190" s="92">
        <v>720000</v>
      </c>
      <c r="I190" s="92" t="s">
        <v>3</v>
      </c>
      <c r="J190" s="92" t="s">
        <v>5</v>
      </c>
      <c r="K190" s="206">
        <v>1</v>
      </c>
      <c r="L190" s="250" t="s">
        <v>38</v>
      </c>
      <c r="M190" s="254" t="s">
        <v>457</v>
      </c>
      <c r="N190" s="92"/>
      <c r="O190" s="93"/>
      <c r="P190" s="92"/>
      <c r="Q190" s="93"/>
      <c r="R190" s="96" t="s">
        <v>19</v>
      </c>
      <c r="S190" s="65">
        <f t="shared" si="4"/>
        <v>720000</v>
      </c>
    </row>
    <row r="191" spans="1:19" ht="18" customHeight="1">
      <c r="A191" s="11"/>
      <c r="B191" s="17"/>
      <c r="C191" s="19"/>
      <c r="D191" s="11"/>
      <c r="E191" s="67"/>
      <c r="F191" s="44"/>
      <c r="G191" s="95" t="s">
        <v>264</v>
      </c>
      <c r="H191" s="92">
        <v>300000</v>
      </c>
      <c r="I191" s="92" t="s">
        <v>3</v>
      </c>
      <c r="J191" s="92" t="s">
        <v>5</v>
      </c>
      <c r="K191" s="92">
        <v>1</v>
      </c>
      <c r="L191" s="93" t="s">
        <v>38</v>
      </c>
      <c r="M191" s="92"/>
      <c r="N191" s="92"/>
      <c r="O191" s="93"/>
      <c r="P191" s="92"/>
      <c r="Q191" s="93"/>
      <c r="R191" s="96" t="s">
        <v>19</v>
      </c>
      <c r="S191" s="65">
        <f t="shared" si="4"/>
        <v>300000</v>
      </c>
    </row>
    <row r="192" spans="1:19" ht="18" customHeight="1">
      <c r="A192" s="11"/>
      <c r="B192" s="17"/>
      <c r="C192" s="19"/>
      <c r="D192" s="11"/>
      <c r="E192" s="67"/>
      <c r="F192" s="44"/>
      <c r="G192" s="91" t="s">
        <v>204</v>
      </c>
      <c r="H192" s="92">
        <v>1000000</v>
      </c>
      <c r="I192" s="92" t="s">
        <v>3</v>
      </c>
      <c r="J192" s="92" t="s">
        <v>5</v>
      </c>
      <c r="K192" s="92">
        <v>1</v>
      </c>
      <c r="L192" s="250" t="s">
        <v>475</v>
      </c>
      <c r="M192" s="209"/>
      <c r="O192" s="2"/>
      <c r="P192" s="209"/>
      <c r="Q192" s="210"/>
      <c r="R192" s="211" t="s">
        <v>19</v>
      </c>
      <c r="S192" s="65">
        <f t="shared" si="4"/>
        <v>1000000</v>
      </c>
    </row>
    <row r="193" spans="1:19" ht="18" customHeight="1">
      <c r="A193" s="11"/>
      <c r="B193" s="17"/>
      <c r="C193" s="19"/>
      <c r="D193" s="11"/>
      <c r="E193" s="67"/>
      <c r="F193" s="44"/>
      <c r="G193" s="91" t="s">
        <v>205</v>
      </c>
      <c r="H193" s="92">
        <v>13350000</v>
      </c>
      <c r="I193" s="92" t="s">
        <v>3</v>
      </c>
      <c r="J193" s="92" t="s">
        <v>5</v>
      </c>
      <c r="K193" s="92">
        <v>1</v>
      </c>
      <c r="L193" s="250" t="s">
        <v>398</v>
      </c>
      <c r="M193" s="209"/>
      <c r="O193" s="2"/>
      <c r="P193" s="209"/>
      <c r="Q193" s="210"/>
      <c r="R193" s="211" t="s">
        <v>19</v>
      </c>
      <c r="S193" s="65">
        <f t="shared" si="4"/>
        <v>13350000</v>
      </c>
    </row>
    <row r="194" spans="1:19" ht="18" customHeight="1">
      <c r="A194" s="11"/>
      <c r="B194" s="17"/>
      <c r="C194" s="19"/>
      <c r="D194" s="11"/>
      <c r="E194" s="67"/>
      <c r="F194" s="44"/>
      <c r="G194" s="91" t="s">
        <v>206</v>
      </c>
      <c r="H194" s="92"/>
      <c r="I194" s="92"/>
      <c r="J194" s="92"/>
      <c r="K194" s="92"/>
      <c r="L194" s="93"/>
      <c r="M194" s="92"/>
      <c r="N194" s="92"/>
      <c r="O194" s="93"/>
      <c r="P194" s="92"/>
      <c r="Q194" s="93"/>
      <c r="R194" s="96"/>
      <c r="S194" s="94"/>
    </row>
    <row r="195" spans="1:19" ht="18" customHeight="1">
      <c r="A195" s="11"/>
      <c r="B195" s="17"/>
      <c r="C195" s="19"/>
      <c r="D195" s="11"/>
      <c r="E195" s="67"/>
      <c r="F195" s="44"/>
      <c r="G195" s="251" t="s">
        <v>458</v>
      </c>
      <c r="H195" s="92">
        <v>38375410</v>
      </c>
      <c r="I195" s="92" t="s">
        <v>3</v>
      </c>
      <c r="J195" s="92" t="s">
        <v>5</v>
      </c>
      <c r="K195" s="92">
        <v>12</v>
      </c>
      <c r="L195" s="250" t="s">
        <v>40</v>
      </c>
      <c r="M195" s="92"/>
      <c r="N195" s="92"/>
      <c r="O195" s="93"/>
      <c r="P195" s="92"/>
      <c r="Q195" s="93"/>
      <c r="R195" s="96" t="s">
        <v>19</v>
      </c>
      <c r="S195" s="65">
        <f>H195*K195-10</f>
        <v>460504910</v>
      </c>
    </row>
    <row r="196" spans="1:19" ht="18" customHeight="1">
      <c r="A196" s="11"/>
      <c r="B196" s="17"/>
      <c r="C196" s="19"/>
      <c r="D196" s="11"/>
      <c r="E196" s="67"/>
      <c r="F196" s="44"/>
      <c r="G196" s="251" t="s">
        <v>461</v>
      </c>
      <c r="H196" s="92">
        <v>7451250</v>
      </c>
      <c r="I196" s="92" t="s">
        <v>3</v>
      </c>
      <c r="J196" s="92" t="s">
        <v>5</v>
      </c>
      <c r="K196" s="92">
        <v>12</v>
      </c>
      <c r="L196" s="250" t="s">
        <v>40</v>
      </c>
      <c r="M196" s="254" t="s">
        <v>114</v>
      </c>
      <c r="N196" s="254" t="s">
        <v>114</v>
      </c>
      <c r="O196" s="250" t="s">
        <v>114</v>
      </c>
      <c r="P196" s="92"/>
      <c r="Q196" s="93"/>
      <c r="R196" s="96" t="s">
        <v>19</v>
      </c>
      <c r="S196" s="65">
        <f>H196*K196-80</f>
        <v>89414920</v>
      </c>
    </row>
    <row r="197" spans="1:19" ht="18" customHeight="1">
      <c r="A197" s="11"/>
      <c r="B197" s="17"/>
      <c r="C197" s="19"/>
      <c r="D197" s="11"/>
      <c r="E197" s="67"/>
      <c r="F197" s="44"/>
      <c r="G197" s="251" t="s">
        <v>356</v>
      </c>
      <c r="H197" s="92">
        <v>400000</v>
      </c>
      <c r="I197" s="92" t="s">
        <v>3</v>
      </c>
      <c r="J197" s="92" t="s">
        <v>5</v>
      </c>
      <c r="K197" s="92">
        <v>10</v>
      </c>
      <c r="L197" s="250" t="s">
        <v>40</v>
      </c>
      <c r="M197" s="92"/>
      <c r="N197" s="92"/>
      <c r="O197" s="93"/>
      <c r="P197" s="92"/>
      <c r="Q197" s="93"/>
      <c r="R197" s="96" t="s">
        <v>19</v>
      </c>
      <c r="S197" s="65">
        <f>H197*K197</f>
        <v>4000000</v>
      </c>
    </row>
    <row r="198" spans="1:19" ht="18" customHeight="1">
      <c r="A198" s="11"/>
      <c r="B198" s="17"/>
      <c r="C198" s="19"/>
      <c r="D198" s="11"/>
      <c r="E198" s="67"/>
      <c r="F198" s="44"/>
      <c r="G198" s="251" t="s">
        <v>459</v>
      </c>
      <c r="H198" s="92">
        <v>3000000</v>
      </c>
      <c r="I198" s="92" t="s">
        <v>3</v>
      </c>
      <c r="J198" s="92" t="s">
        <v>5</v>
      </c>
      <c r="K198" s="92">
        <v>1</v>
      </c>
      <c r="L198" s="250" t="s">
        <v>398</v>
      </c>
      <c r="M198" s="92"/>
      <c r="N198" s="92"/>
      <c r="O198" s="93"/>
      <c r="P198" s="92"/>
      <c r="Q198" s="93"/>
      <c r="R198" s="96" t="s">
        <v>19</v>
      </c>
      <c r="S198" s="65">
        <f>H198*K198</f>
        <v>3000000</v>
      </c>
    </row>
    <row r="199" spans="1:19" ht="18" customHeight="1">
      <c r="A199" s="11"/>
      <c r="B199" s="17"/>
      <c r="C199" s="19"/>
      <c r="D199" s="11"/>
      <c r="E199" s="67"/>
      <c r="F199" s="44"/>
      <c r="G199" s="251" t="s">
        <v>460</v>
      </c>
      <c r="H199" s="92">
        <v>24000000</v>
      </c>
      <c r="I199" s="92" t="s">
        <v>3</v>
      </c>
      <c r="J199" s="92" t="s">
        <v>5</v>
      </c>
      <c r="K199" s="92">
        <v>1</v>
      </c>
      <c r="L199" s="250" t="s">
        <v>398</v>
      </c>
      <c r="M199" s="92"/>
      <c r="N199" s="92"/>
      <c r="O199" s="93"/>
      <c r="P199" s="92"/>
      <c r="Q199" s="93"/>
      <c r="R199" s="96" t="s">
        <v>19</v>
      </c>
      <c r="S199" s="65">
        <f>H199*K199</f>
        <v>24000000</v>
      </c>
    </row>
    <row r="200" spans="1:19" ht="18" customHeight="1">
      <c r="A200" s="11"/>
      <c r="B200" s="17"/>
      <c r="C200" s="19"/>
      <c r="D200" s="11"/>
      <c r="E200" s="67"/>
      <c r="F200" s="44"/>
      <c r="G200" s="251" t="s">
        <v>462</v>
      </c>
      <c r="H200" s="206">
        <v>5899240</v>
      </c>
      <c r="I200" s="206" t="s">
        <v>3</v>
      </c>
      <c r="J200" s="206" t="s">
        <v>5</v>
      </c>
      <c r="K200" s="206">
        <v>12</v>
      </c>
      <c r="L200" s="250" t="s">
        <v>40</v>
      </c>
      <c r="M200" s="254" t="s">
        <v>114</v>
      </c>
      <c r="N200" s="254" t="s">
        <v>114</v>
      </c>
      <c r="O200" s="250" t="s">
        <v>114</v>
      </c>
      <c r="P200" s="206"/>
      <c r="Q200" s="207"/>
      <c r="R200" s="208" t="s">
        <v>19</v>
      </c>
      <c r="S200" s="98">
        <f>H200*K200</f>
        <v>70790880</v>
      </c>
    </row>
    <row r="201" spans="1:19" ht="18" customHeight="1">
      <c r="A201" s="11"/>
      <c r="B201" s="17"/>
      <c r="C201" s="19"/>
      <c r="D201" s="11"/>
      <c r="E201" s="67"/>
      <c r="F201" s="44"/>
      <c r="G201" s="91" t="s">
        <v>207</v>
      </c>
      <c r="H201" s="92">
        <v>50000</v>
      </c>
      <c r="I201" s="92" t="s">
        <v>3</v>
      </c>
      <c r="J201" s="92" t="s">
        <v>5</v>
      </c>
      <c r="K201" s="92">
        <v>12</v>
      </c>
      <c r="L201" s="93" t="s">
        <v>167</v>
      </c>
      <c r="M201" s="209"/>
      <c r="O201" s="2"/>
      <c r="P201" s="209"/>
      <c r="Q201" s="210"/>
      <c r="R201" s="211" t="s">
        <v>19</v>
      </c>
      <c r="S201" s="65">
        <f>H201*K201</f>
        <v>600000</v>
      </c>
    </row>
    <row r="202" spans="1:19" ht="18" customHeight="1">
      <c r="A202" s="11"/>
      <c r="B202" s="17"/>
      <c r="C202" s="19"/>
      <c r="D202" s="11"/>
      <c r="E202" s="67"/>
      <c r="F202" s="44"/>
      <c r="G202" s="91" t="s">
        <v>208</v>
      </c>
      <c r="H202" s="92"/>
      <c r="I202" s="92"/>
      <c r="J202" s="92"/>
      <c r="K202" s="92"/>
      <c r="L202" s="93"/>
      <c r="M202" s="92"/>
      <c r="N202" s="92"/>
      <c r="O202" s="93"/>
      <c r="P202" s="92"/>
      <c r="Q202" s="93"/>
      <c r="R202" s="96"/>
      <c r="S202" s="94"/>
    </row>
    <row r="203" spans="1:19" ht="18" customHeight="1">
      <c r="A203" s="11"/>
      <c r="B203" s="17"/>
      <c r="C203" s="19"/>
      <c r="D203" s="11"/>
      <c r="E203" s="67"/>
      <c r="F203" s="44"/>
      <c r="G203" s="95" t="s">
        <v>209</v>
      </c>
      <c r="H203" s="92">
        <v>400000</v>
      </c>
      <c r="I203" s="92" t="s">
        <v>3</v>
      </c>
      <c r="J203" s="92"/>
      <c r="K203" s="92"/>
      <c r="L203" s="93"/>
      <c r="M203" s="92"/>
      <c r="N203" s="92"/>
      <c r="O203" s="93"/>
      <c r="P203" s="92"/>
      <c r="Q203" s="93"/>
      <c r="R203" s="96" t="s">
        <v>19</v>
      </c>
      <c r="S203" s="65">
        <f>H203</f>
        <v>400000</v>
      </c>
    </row>
    <row r="204" spans="1:19" ht="18" customHeight="1">
      <c r="A204" s="11"/>
      <c r="B204" s="17"/>
      <c r="C204" s="19"/>
      <c r="D204" s="11"/>
      <c r="E204" s="67"/>
      <c r="F204" s="44"/>
      <c r="G204" s="95" t="s">
        <v>210</v>
      </c>
      <c r="H204" s="92">
        <v>1120000</v>
      </c>
      <c r="I204" s="92" t="s">
        <v>3</v>
      </c>
      <c r="J204" s="92"/>
      <c r="K204" s="92"/>
      <c r="L204" s="93"/>
      <c r="M204" s="92"/>
      <c r="N204" s="92"/>
      <c r="O204" s="93"/>
      <c r="P204" s="92"/>
      <c r="Q204" s="93"/>
      <c r="R204" s="96" t="s">
        <v>19</v>
      </c>
      <c r="S204" s="65">
        <f>H204</f>
        <v>1120000</v>
      </c>
    </row>
    <row r="205" spans="1:19" ht="18" customHeight="1">
      <c r="A205" s="11"/>
      <c r="B205" s="17"/>
      <c r="C205" s="19"/>
      <c r="D205" s="11"/>
      <c r="E205" s="67"/>
      <c r="F205" s="44"/>
      <c r="G205" s="91" t="s">
        <v>463</v>
      </c>
      <c r="H205" s="92"/>
      <c r="I205" s="92"/>
      <c r="J205" s="92"/>
      <c r="K205" s="92"/>
      <c r="L205" s="93"/>
      <c r="M205" s="92"/>
      <c r="N205" s="92"/>
      <c r="O205" s="93"/>
      <c r="P205" s="92"/>
      <c r="Q205" s="93"/>
      <c r="R205" s="96"/>
      <c r="S205" s="94"/>
    </row>
    <row r="206" spans="1:19" ht="18" customHeight="1">
      <c r="A206" s="11"/>
      <c r="B206" s="17"/>
      <c r="C206" s="19"/>
      <c r="D206" s="11"/>
      <c r="E206" s="67"/>
      <c r="F206" s="44"/>
      <c r="G206" s="251" t="s">
        <v>516</v>
      </c>
      <c r="H206" s="92">
        <v>40000</v>
      </c>
      <c r="I206" s="92" t="s">
        <v>3</v>
      </c>
      <c r="J206" s="92" t="s">
        <v>5</v>
      </c>
      <c r="K206" s="92">
        <v>10</v>
      </c>
      <c r="L206" s="250" t="s">
        <v>41</v>
      </c>
      <c r="M206" s="92"/>
      <c r="N206" s="92"/>
      <c r="O206" s="93"/>
      <c r="P206" s="92"/>
      <c r="Q206" s="93"/>
      <c r="R206" s="96" t="s">
        <v>19</v>
      </c>
      <c r="S206" s="65">
        <f>H206*K206</f>
        <v>400000</v>
      </c>
    </row>
    <row r="207" spans="1:19" ht="18" customHeight="1">
      <c r="A207" s="11"/>
      <c r="B207" s="17"/>
      <c r="C207" s="19"/>
      <c r="D207" s="11"/>
      <c r="E207" s="67"/>
      <c r="F207" s="44"/>
      <c r="G207" s="251" t="s">
        <v>517</v>
      </c>
      <c r="H207" s="92">
        <v>300000</v>
      </c>
      <c r="I207" s="92" t="s">
        <v>3</v>
      </c>
      <c r="J207" s="92" t="s">
        <v>5</v>
      </c>
      <c r="K207" s="92">
        <v>6</v>
      </c>
      <c r="L207" s="250" t="s">
        <v>41</v>
      </c>
      <c r="M207" s="92"/>
      <c r="N207" s="92"/>
      <c r="O207" s="93"/>
      <c r="P207" s="92"/>
      <c r="Q207" s="93"/>
      <c r="R207" s="96" t="s">
        <v>19</v>
      </c>
      <c r="S207" s="65">
        <f>H207*K207</f>
        <v>1800000</v>
      </c>
    </row>
    <row r="208" spans="1:19" ht="18" customHeight="1">
      <c r="A208" s="11"/>
      <c r="B208" s="17"/>
      <c r="C208" s="19"/>
      <c r="D208" s="11"/>
      <c r="E208" s="67"/>
      <c r="F208" s="44"/>
      <c r="G208" s="251" t="s">
        <v>518</v>
      </c>
      <c r="H208" s="92">
        <v>1400000</v>
      </c>
      <c r="I208" s="92" t="s">
        <v>3</v>
      </c>
      <c r="J208" s="92" t="s">
        <v>5</v>
      </c>
      <c r="K208" s="92">
        <v>1</v>
      </c>
      <c r="L208" s="250" t="s">
        <v>519</v>
      </c>
      <c r="M208" s="92"/>
      <c r="N208" s="92"/>
      <c r="O208" s="93"/>
      <c r="P208" s="92"/>
      <c r="Q208" s="93"/>
      <c r="R208" s="96" t="s">
        <v>19</v>
      </c>
      <c r="S208" s="65">
        <f>H208*K208</f>
        <v>1400000</v>
      </c>
    </row>
    <row r="209" spans="1:19" ht="18" customHeight="1">
      <c r="A209" s="11"/>
      <c r="B209" s="17"/>
      <c r="C209" s="19"/>
      <c r="D209" s="11"/>
      <c r="E209" s="67"/>
      <c r="F209" s="44"/>
      <c r="G209" s="251" t="s">
        <v>520</v>
      </c>
      <c r="H209" s="92">
        <v>200000</v>
      </c>
      <c r="I209" s="92" t="s">
        <v>3</v>
      </c>
      <c r="J209" s="92"/>
      <c r="K209" s="92"/>
      <c r="L209" s="93"/>
      <c r="M209" s="92"/>
      <c r="N209" s="92"/>
      <c r="O209" s="93"/>
      <c r="P209" s="92"/>
      <c r="Q209" s="93"/>
      <c r="R209" s="96" t="s">
        <v>19</v>
      </c>
      <c r="S209" s="65">
        <f>H209</f>
        <v>200000</v>
      </c>
    </row>
    <row r="210" spans="1:19" ht="18" customHeight="1">
      <c r="A210" s="11"/>
      <c r="B210" s="17"/>
      <c r="C210" s="26"/>
      <c r="D210" s="35"/>
      <c r="E210" s="69"/>
      <c r="F210" s="42"/>
      <c r="G210" s="384" t="s">
        <v>42</v>
      </c>
      <c r="H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127">
        <f>SUM(S141:S209)</f>
        <v>780287580</v>
      </c>
    </row>
    <row r="211" spans="1:19" ht="18" customHeight="1">
      <c r="A211" s="11"/>
      <c r="B211" s="17"/>
      <c r="C211" s="38" t="s">
        <v>211</v>
      </c>
      <c r="D211" s="9">
        <f>INT(S214/1000)</f>
        <v>13676</v>
      </c>
      <c r="E211" s="68">
        <v>13700</v>
      </c>
      <c r="F211" s="43">
        <f>+D211-E211</f>
        <v>-24</v>
      </c>
      <c r="G211" s="101"/>
      <c r="H211" s="102"/>
      <c r="I211" s="102"/>
      <c r="J211" s="102"/>
      <c r="K211" s="102"/>
      <c r="L211" s="103"/>
      <c r="M211" s="102"/>
      <c r="N211" s="102"/>
      <c r="O211" s="103"/>
      <c r="P211" s="102"/>
      <c r="Q211" s="103"/>
      <c r="R211" s="102"/>
      <c r="S211" s="104"/>
    </row>
    <row r="212" spans="1:19" ht="18" customHeight="1">
      <c r="A212" s="11"/>
      <c r="B212" s="17"/>
      <c r="C212" s="39"/>
      <c r="D212" s="11"/>
      <c r="E212" s="67"/>
      <c r="F212" s="44"/>
      <c r="G212" s="91" t="s">
        <v>212</v>
      </c>
      <c r="H212" s="92"/>
      <c r="I212" s="92"/>
      <c r="J212" s="92"/>
      <c r="K212" s="92"/>
      <c r="L212" s="93"/>
      <c r="M212" s="92"/>
      <c r="N212" s="92"/>
      <c r="O212" s="93"/>
      <c r="P212" s="92"/>
      <c r="Q212" s="93"/>
      <c r="R212" s="92"/>
      <c r="S212" s="94"/>
    </row>
    <row r="213" spans="1:19" ht="18" customHeight="1">
      <c r="A213" s="11"/>
      <c r="B213" s="17"/>
      <c r="C213" s="19"/>
      <c r="D213" s="11"/>
      <c r="E213" s="67"/>
      <c r="F213" s="44"/>
      <c r="G213" s="251" t="s">
        <v>521</v>
      </c>
      <c r="H213" s="92">
        <v>13676000</v>
      </c>
      <c r="I213" s="92" t="s">
        <v>3</v>
      </c>
      <c r="J213" s="92" t="s">
        <v>5</v>
      </c>
      <c r="K213" s="92">
        <v>1</v>
      </c>
      <c r="L213" s="250" t="s">
        <v>464</v>
      </c>
      <c r="M213" s="92"/>
      <c r="N213" s="92"/>
      <c r="O213" s="93"/>
      <c r="P213" s="92"/>
      <c r="Q213" s="93"/>
      <c r="R213" s="96" t="s">
        <v>19</v>
      </c>
      <c r="S213" s="65">
        <f>H213*K213</f>
        <v>13676000</v>
      </c>
    </row>
    <row r="214" spans="1:19" ht="18" customHeight="1">
      <c r="A214" s="11"/>
      <c r="B214" s="17"/>
      <c r="C214" s="23"/>
      <c r="D214" s="35"/>
      <c r="E214" s="69"/>
      <c r="F214" s="42"/>
      <c r="G214" s="382" t="s">
        <v>23</v>
      </c>
      <c r="H214" s="382"/>
      <c r="I214" s="382"/>
      <c r="J214" s="382"/>
      <c r="K214" s="382"/>
      <c r="L214" s="382"/>
      <c r="M214" s="382"/>
      <c r="N214" s="382"/>
      <c r="O214" s="382"/>
      <c r="P214" s="382"/>
      <c r="Q214" s="382"/>
      <c r="R214" s="382"/>
      <c r="S214" s="127">
        <f>SUM(S213:S213)</f>
        <v>13676000</v>
      </c>
    </row>
    <row r="215" spans="1:19" ht="18" customHeight="1">
      <c r="A215" s="11"/>
      <c r="B215" s="385" t="s">
        <v>76</v>
      </c>
      <c r="C215" s="386"/>
      <c r="D215" s="154">
        <f>D216+D222+D228+D233+D236</f>
        <v>36778</v>
      </c>
      <c r="E215" s="154">
        <f>E216+E222+E228+E233+E236</f>
        <v>36810</v>
      </c>
      <c r="F215" s="213">
        <f>F216+F222+F228+F233+F236</f>
        <v>-32</v>
      </c>
      <c r="G215" s="155"/>
      <c r="H215" s="156"/>
      <c r="I215" s="156"/>
      <c r="J215" s="156"/>
      <c r="K215" s="156"/>
      <c r="L215" s="153"/>
      <c r="M215" s="156"/>
      <c r="N215" s="156"/>
      <c r="O215" s="153"/>
      <c r="P215" s="156"/>
      <c r="Q215" s="153"/>
      <c r="R215" s="156"/>
      <c r="S215" s="157"/>
    </row>
    <row r="216" spans="1:19" ht="18" customHeight="1">
      <c r="A216" s="11"/>
      <c r="B216" s="12"/>
      <c r="C216" s="38" t="s">
        <v>153</v>
      </c>
      <c r="D216" s="9">
        <f>INT(S221/1000)</f>
        <v>14915</v>
      </c>
      <c r="E216" s="68">
        <v>15150</v>
      </c>
      <c r="F216" s="43">
        <f>+D216-E216</f>
        <v>-235</v>
      </c>
      <c r="G216" s="101"/>
      <c r="H216" s="102"/>
      <c r="I216" s="102"/>
      <c r="J216" s="102"/>
      <c r="K216" s="102"/>
      <c r="L216" s="103"/>
      <c r="M216" s="102"/>
      <c r="N216" s="102"/>
      <c r="O216" s="103"/>
      <c r="P216" s="102"/>
      <c r="Q216" s="103"/>
      <c r="R216" s="102"/>
      <c r="S216" s="104"/>
    </row>
    <row r="217" spans="1:19" ht="18" customHeight="1">
      <c r="A217" s="11"/>
      <c r="B217" s="17"/>
      <c r="C217" s="39"/>
      <c r="D217" s="11"/>
      <c r="E217" s="67"/>
      <c r="F217" s="44"/>
      <c r="G217" s="91" t="s">
        <v>214</v>
      </c>
      <c r="H217" s="92"/>
      <c r="I217" s="92"/>
      <c r="J217" s="92"/>
      <c r="K217" s="92"/>
      <c r="L217" s="93"/>
      <c r="M217" s="92"/>
      <c r="N217" s="92"/>
      <c r="O217" s="93"/>
      <c r="P217" s="92"/>
      <c r="Q217" s="93"/>
      <c r="R217" s="92"/>
      <c r="S217" s="94"/>
    </row>
    <row r="218" spans="1:19" ht="18" customHeight="1">
      <c r="A218" s="11"/>
      <c r="B218" s="17"/>
      <c r="C218" s="19"/>
      <c r="D218" s="11"/>
      <c r="E218" s="67"/>
      <c r="F218" s="44"/>
      <c r="G218" s="95" t="s">
        <v>213</v>
      </c>
      <c r="H218" s="92">
        <v>315000</v>
      </c>
      <c r="I218" s="92" t="s">
        <v>3</v>
      </c>
      <c r="J218" s="92"/>
      <c r="K218" s="92"/>
      <c r="L218" s="93"/>
      <c r="M218" s="92"/>
      <c r="N218" s="92"/>
      <c r="O218" s="93"/>
      <c r="P218" s="92"/>
      <c r="Q218" s="93"/>
      <c r="R218" s="96" t="s">
        <v>19</v>
      </c>
      <c r="S218" s="65">
        <f>H218</f>
        <v>315000</v>
      </c>
    </row>
    <row r="219" spans="1:19" ht="18" customHeight="1">
      <c r="A219" s="11"/>
      <c r="B219" s="17"/>
      <c r="C219" s="19"/>
      <c r="D219" s="11"/>
      <c r="E219" s="67"/>
      <c r="F219" s="44"/>
      <c r="G219" s="95" t="s">
        <v>215</v>
      </c>
      <c r="H219" s="92">
        <v>12600000</v>
      </c>
      <c r="I219" s="92" t="s">
        <v>3</v>
      </c>
      <c r="J219" s="92"/>
      <c r="K219" s="92"/>
      <c r="L219" s="93"/>
      <c r="M219" s="92"/>
      <c r="N219" s="92"/>
      <c r="O219" s="93"/>
      <c r="P219" s="92"/>
      <c r="Q219" s="93"/>
      <c r="R219" s="96" t="s">
        <v>19</v>
      </c>
      <c r="S219" s="65">
        <f>H219</f>
        <v>12600000</v>
      </c>
    </row>
    <row r="220" spans="1:19" ht="18" customHeight="1">
      <c r="A220" s="11"/>
      <c r="B220" s="17"/>
      <c r="C220" s="19"/>
      <c r="D220" s="11"/>
      <c r="E220" s="67"/>
      <c r="F220" s="44"/>
      <c r="G220" s="95" t="s">
        <v>216</v>
      </c>
      <c r="H220" s="92">
        <v>2000000</v>
      </c>
      <c r="I220" s="92" t="s">
        <v>3</v>
      </c>
      <c r="J220" s="92" t="s">
        <v>5</v>
      </c>
      <c r="K220" s="92">
        <v>1</v>
      </c>
      <c r="L220" s="250" t="s">
        <v>465</v>
      </c>
      <c r="M220" s="206"/>
      <c r="N220" s="206"/>
      <c r="O220" s="207"/>
      <c r="P220" s="92"/>
      <c r="Q220" s="93"/>
      <c r="R220" s="96" t="s">
        <v>19</v>
      </c>
      <c r="S220" s="65">
        <f>H220*K220</f>
        <v>2000000</v>
      </c>
    </row>
    <row r="221" spans="1:19" ht="18" customHeight="1">
      <c r="A221" s="11"/>
      <c r="B221" s="17"/>
      <c r="C221" s="23"/>
      <c r="D221" s="35"/>
      <c r="E221" s="69"/>
      <c r="F221" s="42"/>
      <c r="G221" s="382" t="s">
        <v>23</v>
      </c>
      <c r="H221" s="382"/>
      <c r="I221" s="382"/>
      <c r="J221" s="382"/>
      <c r="K221" s="382"/>
      <c r="L221" s="382"/>
      <c r="M221" s="382"/>
      <c r="N221" s="382"/>
      <c r="O221" s="382"/>
      <c r="P221" s="382"/>
      <c r="Q221" s="382"/>
      <c r="R221" s="382"/>
      <c r="S221" s="127">
        <f>SUM(S218:S220)</f>
        <v>14915000</v>
      </c>
    </row>
    <row r="222" spans="1:19" ht="18" customHeight="1">
      <c r="A222" s="11"/>
      <c r="B222" s="17"/>
      <c r="C222" s="38" t="s">
        <v>154</v>
      </c>
      <c r="D222" s="9">
        <f>INT(S227/1000)</f>
        <v>6440</v>
      </c>
      <c r="E222" s="68">
        <v>6440</v>
      </c>
      <c r="F222" s="43">
        <f>+D222-E222</f>
        <v>0</v>
      </c>
      <c r="G222" s="101"/>
      <c r="H222" s="102"/>
      <c r="I222" s="102"/>
      <c r="J222" s="102"/>
      <c r="K222" s="102"/>
      <c r="L222" s="103"/>
      <c r="M222" s="102"/>
      <c r="N222" s="102"/>
      <c r="O222" s="103"/>
      <c r="P222" s="102"/>
      <c r="Q222" s="103"/>
      <c r="R222" s="102"/>
      <c r="S222" s="104"/>
    </row>
    <row r="223" spans="1:19" ht="18" customHeight="1">
      <c r="A223" s="11"/>
      <c r="B223" s="17"/>
      <c r="C223" s="39"/>
      <c r="D223" s="11"/>
      <c r="E223" s="67"/>
      <c r="F223" s="44"/>
      <c r="G223" s="91" t="s">
        <v>217</v>
      </c>
      <c r="H223" s="92"/>
      <c r="I223" s="92"/>
      <c r="J223" s="92"/>
      <c r="K223" s="92"/>
      <c r="L223" s="93"/>
      <c r="M223" s="92"/>
      <c r="N223" s="92"/>
      <c r="O223" s="93"/>
      <c r="P223" s="92"/>
      <c r="Q223" s="93"/>
      <c r="R223" s="92"/>
      <c r="S223" s="94"/>
    </row>
    <row r="224" spans="1:19" ht="18" customHeight="1">
      <c r="A224" s="11"/>
      <c r="B224" s="17"/>
      <c r="C224" s="19"/>
      <c r="D224" s="11"/>
      <c r="E224" s="67"/>
      <c r="F224" s="44"/>
      <c r="G224" s="251" t="s">
        <v>522</v>
      </c>
      <c r="H224" s="92">
        <v>480000</v>
      </c>
      <c r="I224" s="92" t="s">
        <v>3</v>
      </c>
      <c r="J224" s="92" t="s">
        <v>5</v>
      </c>
      <c r="K224" s="92">
        <v>1</v>
      </c>
      <c r="L224" s="93" t="s">
        <v>40</v>
      </c>
      <c r="M224" s="92"/>
      <c r="N224" s="99"/>
      <c r="O224" s="100"/>
      <c r="P224" s="99"/>
      <c r="Q224" s="100"/>
      <c r="R224" s="96" t="s">
        <v>19</v>
      </c>
      <c r="S224" s="65">
        <f>H224*K224</f>
        <v>480000</v>
      </c>
    </row>
    <row r="225" spans="1:19" ht="18" customHeight="1">
      <c r="A225" s="11"/>
      <c r="B225" s="17"/>
      <c r="C225" s="19"/>
      <c r="D225" s="11"/>
      <c r="E225" s="67"/>
      <c r="F225" s="44"/>
      <c r="G225" s="95" t="s">
        <v>218</v>
      </c>
      <c r="H225" s="92">
        <v>330000</v>
      </c>
      <c r="I225" s="92" t="s">
        <v>3</v>
      </c>
      <c r="J225" s="92" t="s">
        <v>5</v>
      </c>
      <c r="K225" s="92">
        <v>12</v>
      </c>
      <c r="L225" s="93" t="s">
        <v>167</v>
      </c>
      <c r="M225" s="92"/>
      <c r="N225" s="99"/>
      <c r="O225" s="100"/>
      <c r="P225" s="99"/>
      <c r="Q225" s="100"/>
      <c r="R225" s="96" t="s">
        <v>19</v>
      </c>
      <c r="S225" s="65">
        <f>H225*K225</f>
        <v>3960000</v>
      </c>
    </row>
    <row r="226" spans="1:19" ht="18" customHeight="1">
      <c r="A226" s="11"/>
      <c r="B226" s="17"/>
      <c r="C226" s="25"/>
      <c r="D226" s="11"/>
      <c r="E226" s="17"/>
      <c r="F226" s="44"/>
      <c r="G226" s="95" t="s">
        <v>219</v>
      </c>
      <c r="H226" s="92">
        <v>2000000</v>
      </c>
      <c r="I226" s="92" t="s">
        <v>3</v>
      </c>
      <c r="J226" s="92" t="s">
        <v>5</v>
      </c>
      <c r="K226" s="92">
        <v>1</v>
      </c>
      <c r="L226" s="250" t="s">
        <v>465</v>
      </c>
      <c r="M226" s="92"/>
      <c r="N226" s="92"/>
      <c r="O226" s="93"/>
      <c r="P226" s="92"/>
      <c r="Q226" s="93"/>
      <c r="R226" s="96" t="s">
        <v>19</v>
      </c>
      <c r="S226" s="65">
        <f>H226*K226</f>
        <v>2000000</v>
      </c>
    </row>
    <row r="227" spans="1:19" ht="18" customHeight="1">
      <c r="A227" s="11"/>
      <c r="B227" s="17"/>
      <c r="C227" s="23"/>
      <c r="D227" s="35"/>
      <c r="E227" s="22"/>
      <c r="F227" s="42"/>
      <c r="G227" s="382" t="s">
        <v>23</v>
      </c>
      <c r="H227" s="382"/>
      <c r="I227" s="382"/>
      <c r="J227" s="382"/>
      <c r="K227" s="382"/>
      <c r="L227" s="382"/>
      <c r="M227" s="382"/>
      <c r="N227" s="382"/>
      <c r="O227" s="382"/>
      <c r="P227" s="382"/>
      <c r="Q227" s="382"/>
      <c r="R227" s="382"/>
      <c r="S227" s="127">
        <f>SUM(S224:S226)</f>
        <v>6440000</v>
      </c>
    </row>
    <row r="228" spans="1:19" ht="18" customHeight="1">
      <c r="A228" s="11"/>
      <c r="B228" s="17"/>
      <c r="C228" s="173" t="s">
        <v>269</v>
      </c>
      <c r="D228" s="9">
        <f>INT(S232/1000)</f>
        <v>12737</v>
      </c>
      <c r="E228" s="68">
        <v>12737</v>
      </c>
      <c r="F228" s="43">
        <f>+D228-E228</f>
        <v>0</v>
      </c>
      <c r="G228" s="101"/>
      <c r="H228" s="102"/>
      <c r="I228" s="102"/>
      <c r="J228" s="102"/>
      <c r="K228" s="102"/>
      <c r="L228" s="103"/>
      <c r="M228" s="102"/>
      <c r="N228" s="102"/>
      <c r="O228" s="103"/>
      <c r="P228" s="102"/>
      <c r="Q228" s="103"/>
      <c r="R228" s="102"/>
      <c r="S228" s="104"/>
    </row>
    <row r="229" spans="1:19" ht="18" customHeight="1">
      <c r="A229" s="11"/>
      <c r="B229" s="17"/>
      <c r="C229" s="39"/>
      <c r="D229" s="11"/>
      <c r="E229" s="67"/>
      <c r="F229" s="44"/>
      <c r="G229" s="91" t="s">
        <v>220</v>
      </c>
      <c r="H229" s="92"/>
      <c r="I229" s="92"/>
      <c r="J229" s="92"/>
      <c r="K229" s="92"/>
      <c r="L229" s="93"/>
      <c r="M229" s="92"/>
      <c r="N229" s="92"/>
      <c r="O229" s="93"/>
      <c r="P229" s="92"/>
      <c r="Q229" s="93"/>
      <c r="R229" s="92"/>
      <c r="S229" s="94"/>
    </row>
    <row r="230" spans="1:19" ht="18" customHeight="1">
      <c r="A230" s="11"/>
      <c r="B230" s="17"/>
      <c r="C230" s="19"/>
      <c r="D230" s="11"/>
      <c r="E230" s="67"/>
      <c r="F230" s="44"/>
      <c r="G230" s="95" t="s">
        <v>221</v>
      </c>
      <c r="H230" s="92">
        <v>5337000</v>
      </c>
      <c r="I230" s="92" t="s">
        <v>3</v>
      </c>
      <c r="J230" s="92"/>
      <c r="K230" s="92"/>
      <c r="L230" s="93"/>
      <c r="M230" s="92"/>
      <c r="N230" s="99"/>
      <c r="O230" s="100"/>
      <c r="P230" s="99"/>
      <c r="Q230" s="100"/>
      <c r="R230" s="96" t="s">
        <v>19</v>
      </c>
      <c r="S230" s="65">
        <f>H230</f>
        <v>5337000</v>
      </c>
    </row>
    <row r="231" spans="1:19" ht="18" customHeight="1">
      <c r="A231" s="11"/>
      <c r="B231" s="17"/>
      <c r="C231" s="25"/>
      <c r="D231" s="11"/>
      <c r="E231" s="17"/>
      <c r="F231" s="44"/>
      <c r="G231" s="95" t="s">
        <v>222</v>
      </c>
      <c r="H231" s="92">
        <v>7400000</v>
      </c>
      <c r="I231" s="92" t="s">
        <v>3</v>
      </c>
      <c r="J231" s="92"/>
      <c r="K231" s="92"/>
      <c r="L231" s="93"/>
      <c r="M231" s="92"/>
      <c r="N231" s="92"/>
      <c r="O231" s="93"/>
      <c r="P231" s="92"/>
      <c r="Q231" s="93"/>
      <c r="R231" s="96" t="s">
        <v>19</v>
      </c>
      <c r="S231" s="65">
        <f>H231</f>
        <v>7400000</v>
      </c>
    </row>
    <row r="232" spans="1:19" ht="18" customHeight="1">
      <c r="A232" s="11"/>
      <c r="B232" s="17"/>
      <c r="C232" s="23"/>
      <c r="D232" s="35"/>
      <c r="E232" s="22"/>
      <c r="F232" s="42"/>
      <c r="G232" s="382" t="s">
        <v>23</v>
      </c>
      <c r="H232" s="382"/>
      <c r="I232" s="382"/>
      <c r="J232" s="382"/>
      <c r="K232" s="382"/>
      <c r="L232" s="382"/>
      <c r="M232" s="382"/>
      <c r="N232" s="382"/>
      <c r="O232" s="382"/>
      <c r="P232" s="382"/>
      <c r="Q232" s="382"/>
      <c r="R232" s="382"/>
      <c r="S232" s="127">
        <f>SUM(S230:S231)</f>
        <v>12737000</v>
      </c>
    </row>
    <row r="233" spans="1:19" ht="18" customHeight="1">
      <c r="A233" s="11"/>
      <c r="B233" s="17"/>
      <c r="C233" s="173" t="s">
        <v>410</v>
      </c>
      <c r="D233" s="9">
        <f>INT(S235/1000)</f>
        <v>2000</v>
      </c>
      <c r="E233" s="68">
        <v>2000</v>
      </c>
      <c r="F233" s="43">
        <f>+D233-E233</f>
        <v>0</v>
      </c>
      <c r="G233" s="101"/>
      <c r="H233" s="102"/>
      <c r="I233" s="102"/>
      <c r="J233" s="102"/>
      <c r="K233" s="102"/>
      <c r="L233" s="103"/>
      <c r="M233" s="102"/>
      <c r="N233" s="102"/>
      <c r="O233" s="103"/>
      <c r="P233" s="102"/>
      <c r="Q233" s="103"/>
      <c r="R233" s="102"/>
      <c r="S233" s="104"/>
    </row>
    <row r="234" spans="1:19" ht="18" customHeight="1">
      <c r="A234" s="11"/>
      <c r="B234" s="17"/>
      <c r="C234" s="39"/>
      <c r="D234" s="11"/>
      <c r="E234" s="67"/>
      <c r="F234" s="44"/>
      <c r="G234" s="91" t="s">
        <v>411</v>
      </c>
      <c r="H234" s="92">
        <v>2000000</v>
      </c>
      <c r="I234" s="92" t="s">
        <v>3</v>
      </c>
      <c r="J234" s="92"/>
      <c r="K234" s="92"/>
      <c r="L234" s="93"/>
      <c r="M234" s="92"/>
      <c r="N234" s="92"/>
      <c r="O234" s="93"/>
      <c r="P234" s="92"/>
      <c r="Q234" s="93"/>
      <c r="R234" s="92"/>
      <c r="S234" s="65">
        <f>H234</f>
        <v>2000000</v>
      </c>
    </row>
    <row r="235" spans="1:19" ht="18" customHeight="1">
      <c r="A235" s="11"/>
      <c r="B235" s="22"/>
      <c r="C235" s="23"/>
      <c r="D235" s="35"/>
      <c r="E235" s="22"/>
      <c r="F235" s="42"/>
      <c r="G235" s="382" t="s">
        <v>23</v>
      </c>
      <c r="H235" s="382"/>
      <c r="I235" s="382"/>
      <c r="J235" s="382"/>
      <c r="K235" s="382"/>
      <c r="L235" s="382"/>
      <c r="M235" s="382"/>
      <c r="N235" s="382"/>
      <c r="O235" s="382"/>
      <c r="P235" s="382"/>
      <c r="Q235" s="382"/>
      <c r="R235" s="382"/>
      <c r="S235" s="127">
        <f>SUM(S234)</f>
        <v>2000000</v>
      </c>
    </row>
    <row r="236" spans="1:19" ht="18" customHeight="1">
      <c r="A236" s="11"/>
      <c r="B236" s="17"/>
      <c r="C236" s="173" t="s">
        <v>409</v>
      </c>
      <c r="D236" s="9">
        <f>INT(S238/1000)</f>
        <v>686</v>
      </c>
      <c r="E236" s="68">
        <v>483</v>
      </c>
      <c r="F236" s="43">
        <f>+D236-E236</f>
        <v>203</v>
      </c>
      <c r="G236" s="101"/>
      <c r="H236" s="102"/>
      <c r="I236" s="102"/>
      <c r="J236" s="102"/>
      <c r="K236" s="102"/>
      <c r="L236" s="103"/>
      <c r="M236" s="102"/>
      <c r="N236" s="102"/>
      <c r="O236" s="103"/>
      <c r="P236" s="102"/>
      <c r="Q236" s="103"/>
      <c r="R236" s="102"/>
      <c r="S236" s="104"/>
    </row>
    <row r="237" spans="1:19" ht="18" customHeight="1">
      <c r="A237" s="11"/>
      <c r="B237" s="17"/>
      <c r="C237" s="39"/>
      <c r="D237" s="11"/>
      <c r="E237" s="67"/>
      <c r="F237" s="44"/>
      <c r="G237" s="91" t="s">
        <v>270</v>
      </c>
      <c r="H237" s="92">
        <v>685800</v>
      </c>
      <c r="I237" s="92" t="s">
        <v>3</v>
      </c>
      <c r="J237" s="92"/>
      <c r="K237" s="92"/>
      <c r="L237" s="93"/>
      <c r="M237" s="92"/>
      <c r="N237" s="92"/>
      <c r="O237" s="93"/>
      <c r="P237" s="92"/>
      <c r="Q237" s="93"/>
      <c r="R237" s="92"/>
      <c r="S237" s="65">
        <f>H237</f>
        <v>685800</v>
      </c>
    </row>
    <row r="238" spans="1:19" ht="18" customHeight="1">
      <c r="A238" s="11"/>
      <c r="B238" s="22"/>
      <c r="C238" s="23"/>
      <c r="D238" s="35"/>
      <c r="E238" s="22"/>
      <c r="F238" s="42"/>
      <c r="G238" s="382" t="s">
        <v>23</v>
      </c>
      <c r="H238" s="382"/>
      <c r="I238" s="382"/>
      <c r="J238" s="382"/>
      <c r="K238" s="382"/>
      <c r="L238" s="382"/>
      <c r="M238" s="382"/>
      <c r="N238" s="382"/>
      <c r="O238" s="382"/>
      <c r="P238" s="382"/>
      <c r="Q238" s="382"/>
      <c r="R238" s="382"/>
      <c r="S238" s="127">
        <f>ROUNDUP(S237,-3)</f>
        <v>686000</v>
      </c>
    </row>
    <row r="239" spans="1:19" ht="18" customHeight="1">
      <c r="A239" s="387" t="s">
        <v>77</v>
      </c>
      <c r="B239" s="388"/>
      <c r="C239" s="388"/>
      <c r="D239" s="129">
        <f>D240+D245</f>
        <v>1469</v>
      </c>
      <c r="E239" s="149">
        <f>E240+E245</f>
        <v>1454</v>
      </c>
      <c r="F239" s="131">
        <f>F240+F245</f>
        <v>15</v>
      </c>
      <c r="G239" s="151"/>
      <c r="H239" s="130"/>
      <c r="I239" s="130"/>
      <c r="J239" s="130"/>
      <c r="K239" s="130"/>
      <c r="L239" s="148"/>
      <c r="M239" s="130"/>
      <c r="N239" s="130"/>
      <c r="O239" s="148"/>
      <c r="P239" s="130"/>
      <c r="Q239" s="148"/>
      <c r="R239" s="130"/>
      <c r="S239" s="152"/>
    </row>
    <row r="240" spans="1:19" ht="18" customHeight="1">
      <c r="A240" s="34"/>
      <c r="B240" s="385" t="s">
        <v>78</v>
      </c>
      <c r="C240" s="386"/>
      <c r="D240" s="154">
        <f>D241+D243</f>
        <v>749</v>
      </c>
      <c r="E240" s="154">
        <f>E241+E243</f>
        <v>734</v>
      </c>
      <c r="F240" s="159">
        <f>F241+F243</f>
        <v>15</v>
      </c>
      <c r="G240" s="155"/>
      <c r="H240" s="156"/>
      <c r="I240" s="156"/>
      <c r="J240" s="156"/>
      <c r="K240" s="156"/>
      <c r="L240" s="153"/>
      <c r="M240" s="156"/>
      <c r="N240" s="156"/>
      <c r="O240" s="153"/>
      <c r="P240" s="156"/>
      <c r="Q240" s="153"/>
      <c r="R240" s="156"/>
      <c r="S240" s="157"/>
    </row>
    <row r="241" spans="1:19" ht="15.75" customHeight="1">
      <c r="A241" s="11"/>
      <c r="B241" s="12"/>
      <c r="C241" s="38" t="s">
        <v>79</v>
      </c>
      <c r="D241" s="9">
        <f>INT(S242/1000)</f>
        <v>500</v>
      </c>
      <c r="E241" s="12">
        <v>500</v>
      </c>
      <c r="F241" s="43">
        <f>+D241-E241</f>
        <v>0</v>
      </c>
      <c r="G241" s="101"/>
      <c r="H241" s="102"/>
      <c r="I241" s="102"/>
      <c r="J241" s="102"/>
      <c r="K241" s="102"/>
      <c r="L241" s="103"/>
      <c r="M241" s="102"/>
      <c r="N241" s="102"/>
      <c r="O241" s="103"/>
      <c r="P241" s="102"/>
      <c r="Q241" s="103"/>
      <c r="R241" s="102"/>
      <c r="S241" s="104"/>
    </row>
    <row r="242" spans="1:19" ht="15.75" customHeight="1">
      <c r="A242" s="11"/>
      <c r="B242" s="17"/>
      <c r="C242" s="39"/>
      <c r="D242" s="11"/>
      <c r="E242" s="17"/>
      <c r="F242" s="44"/>
      <c r="G242" s="91" t="s">
        <v>106</v>
      </c>
      <c r="H242" s="92"/>
      <c r="I242" s="92"/>
      <c r="J242" s="92"/>
      <c r="K242" s="92"/>
      <c r="L242" s="93"/>
      <c r="M242" s="92"/>
      <c r="N242" s="92"/>
      <c r="O242" s="93"/>
      <c r="P242" s="92"/>
      <c r="Q242" s="93"/>
      <c r="R242" s="92"/>
      <c r="S242" s="65">
        <v>500000</v>
      </c>
    </row>
    <row r="243" spans="1:19" ht="15.75" customHeight="1">
      <c r="A243" s="11"/>
      <c r="B243" s="12"/>
      <c r="C243" s="173" t="s">
        <v>105</v>
      </c>
      <c r="D243" s="9">
        <f>INT(S244/1000)</f>
        <v>249</v>
      </c>
      <c r="E243" s="12">
        <v>234</v>
      </c>
      <c r="F243" s="43">
        <f>+D243-E243</f>
        <v>15</v>
      </c>
      <c r="G243" s="101"/>
      <c r="H243" s="102"/>
      <c r="I243" s="102"/>
      <c r="J243" s="102"/>
      <c r="K243" s="102"/>
      <c r="L243" s="103"/>
      <c r="M243" s="102"/>
      <c r="N243" s="102"/>
      <c r="O243" s="103"/>
      <c r="P243" s="102"/>
      <c r="Q243" s="103"/>
      <c r="R243" s="102"/>
      <c r="S243" s="104"/>
    </row>
    <row r="244" spans="1:19" ht="15.75" customHeight="1">
      <c r="A244" s="11"/>
      <c r="B244" s="17"/>
      <c r="C244" s="39"/>
      <c r="D244" s="11"/>
      <c r="E244" s="17"/>
      <c r="F244" s="44"/>
      <c r="G244" s="91" t="s">
        <v>107</v>
      </c>
      <c r="H244" s="105">
        <v>1500</v>
      </c>
      <c r="I244" s="106" t="s">
        <v>4</v>
      </c>
      <c r="J244" s="106" t="s">
        <v>1</v>
      </c>
      <c r="K244" s="105">
        <v>166</v>
      </c>
      <c r="L244" s="100" t="s">
        <v>0</v>
      </c>
      <c r="M244" s="92"/>
      <c r="N244" s="92"/>
      <c r="O244" s="93"/>
      <c r="P244" s="92"/>
      <c r="Q244" s="93"/>
      <c r="R244" s="92"/>
      <c r="S244" s="65">
        <f>H244*K244</f>
        <v>249000</v>
      </c>
    </row>
    <row r="245" spans="1:19" ht="18" customHeight="1">
      <c r="A245" s="11"/>
      <c r="B245" s="348" t="s">
        <v>80</v>
      </c>
      <c r="C245" s="381"/>
      <c r="D245" s="142">
        <f>D246</f>
        <v>720</v>
      </c>
      <c r="E245" s="120">
        <f>E246</f>
        <v>720</v>
      </c>
      <c r="F245" s="143">
        <f>D245-E245</f>
        <v>0</v>
      </c>
      <c r="G245" s="144"/>
      <c r="H245" s="120"/>
      <c r="I245" s="120"/>
      <c r="J245" s="120"/>
      <c r="K245" s="120"/>
      <c r="L245" s="160"/>
      <c r="M245" s="120"/>
      <c r="N245" s="120"/>
      <c r="O245" s="160"/>
      <c r="P245" s="120"/>
      <c r="Q245" s="160"/>
      <c r="R245" s="120"/>
      <c r="S245" s="121"/>
    </row>
    <row r="246" spans="1:19" ht="15" customHeight="1">
      <c r="A246" s="11"/>
      <c r="B246" s="12"/>
      <c r="C246" s="38" t="s">
        <v>81</v>
      </c>
      <c r="D246" s="9">
        <f>INT(S247/1000)</f>
        <v>720</v>
      </c>
      <c r="E246" s="12">
        <v>720</v>
      </c>
      <c r="F246" s="43">
        <f>+D246-E246</f>
        <v>0</v>
      </c>
      <c r="G246" s="101"/>
      <c r="H246" s="102"/>
      <c r="I246" s="102"/>
      <c r="J246" s="102"/>
      <c r="K246" s="102"/>
      <c r="L246" s="103"/>
      <c r="M246" s="102"/>
      <c r="N246" s="102"/>
      <c r="O246" s="103"/>
      <c r="P246" s="102"/>
      <c r="Q246" s="103"/>
      <c r="R246" s="102"/>
      <c r="S246" s="104"/>
    </row>
    <row r="247" spans="1:19" ht="15" customHeight="1">
      <c r="A247" s="11"/>
      <c r="B247" s="17"/>
      <c r="C247" s="39"/>
      <c r="D247" s="11"/>
      <c r="E247" s="17"/>
      <c r="F247" s="44"/>
      <c r="G247" s="91" t="s">
        <v>90</v>
      </c>
      <c r="H247" s="105">
        <v>720000</v>
      </c>
      <c r="I247" s="106" t="s">
        <v>4</v>
      </c>
      <c r="J247" s="106" t="s">
        <v>1</v>
      </c>
      <c r="K247" s="105">
        <v>1</v>
      </c>
      <c r="L247" s="313" t="s">
        <v>466</v>
      </c>
      <c r="M247" s="106"/>
      <c r="N247" s="99"/>
      <c r="O247" s="100"/>
      <c r="P247" s="99"/>
      <c r="Q247" s="100"/>
      <c r="R247" s="92"/>
      <c r="S247" s="65">
        <f>H247*K247</f>
        <v>720000</v>
      </c>
    </row>
    <row r="248" spans="1:19" ht="18" customHeight="1">
      <c r="A248" s="403" t="s">
        <v>83</v>
      </c>
      <c r="B248" s="388"/>
      <c r="C248" s="388"/>
      <c r="D248" s="129">
        <f aca="true" t="shared" si="5" ref="D248:F249">SUM(D249)</f>
        <v>0</v>
      </c>
      <c r="E248" s="161">
        <f t="shared" si="5"/>
        <v>1000</v>
      </c>
      <c r="F248" s="150">
        <f t="shared" si="5"/>
        <v>-1000</v>
      </c>
      <c r="G248" s="151"/>
      <c r="H248" s="130"/>
      <c r="I248" s="130"/>
      <c r="J248" s="130"/>
      <c r="K248" s="130"/>
      <c r="L248" s="148"/>
      <c r="M248" s="130"/>
      <c r="N248" s="130"/>
      <c r="O248" s="148"/>
      <c r="P248" s="130"/>
      <c r="Q248" s="148"/>
      <c r="R248" s="130"/>
      <c r="S248" s="152"/>
    </row>
    <row r="249" spans="1:19" ht="18" customHeight="1">
      <c r="A249" s="34"/>
      <c r="B249" s="385" t="s">
        <v>36</v>
      </c>
      <c r="C249" s="386"/>
      <c r="D249" s="154">
        <f t="shared" si="5"/>
        <v>0</v>
      </c>
      <c r="E249" s="158">
        <f t="shared" si="5"/>
        <v>1000</v>
      </c>
      <c r="F249" s="133">
        <f t="shared" si="5"/>
        <v>-1000</v>
      </c>
      <c r="G249" s="155"/>
      <c r="H249" s="156"/>
      <c r="I249" s="156"/>
      <c r="J249" s="156"/>
      <c r="K249" s="156"/>
      <c r="L249" s="153"/>
      <c r="M249" s="156"/>
      <c r="N249" s="156"/>
      <c r="O249" s="153"/>
      <c r="P249" s="156"/>
      <c r="Q249" s="153"/>
      <c r="R249" s="156"/>
      <c r="S249" s="157"/>
    </row>
    <row r="250" spans="1:19" ht="13.5" customHeight="1">
      <c r="A250" s="11"/>
      <c r="B250" s="12"/>
      <c r="C250" s="38" t="s">
        <v>36</v>
      </c>
      <c r="D250" s="12">
        <v>0</v>
      </c>
      <c r="E250" s="12">
        <v>1000</v>
      </c>
      <c r="F250" s="43">
        <f>+D250-E250</f>
        <v>-1000</v>
      </c>
      <c r="G250" s="101"/>
      <c r="H250" s="102"/>
      <c r="I250" s="102"/>
      <c r="J250" s="102"/>
      <c r="K250" s="102"/>
      <c r="L250" s="103"/>
      <c r="M250" s="102"/>
      <c r="N250" s="102"/>
      <c r="O250" s="103"/>
      <c r="P250" s="102"/>
      <c r="Q250" s="103"/>
      <c r="R250" s="102"/>
      <c r="S250" s="104"/>
    </row>
    <row r="251" spans="1:19" ht="15" customHeight="1">
      <c r="A251" s="11"/>
      <c r="B251" s="17"/>
      <c r="C251" s="39"/>
      <c r="D251" s="11"/>
      <c r="E251" s="17"/>
      <c r="F251" s="44"/>
      <c r="G251" s="91" t="s">
        <v>266</v>
      </c>
      <c r="H251" s="105">
        <v>0</v>
      </c>
      <c r="I251" s="106" t="s">
        <v>4</v>
      </c>
      <c r="J251" s="106"/>
      <c r="K251" s="105"/>
      <c r="L251" s="100"/>
      <c r="M251" s="106"/>
      <c r="N251" s="99"/>
      <c r="O251" s="100"/>
      <c r="P251" s="99"/>
      <c r="Q251" s="100"/>
      <c r="R251" s="92"/>
      <c r="S251" s="65">
        <f>H251</f>
        <v>0</v>
      </c>
    </row>
    <row r="252" spans="1:19" ht="18" customHeight="1">
      <c r="A252" s="403" t="s">
        <v>84</v>
      </c>
      <c r="B252" s="388"/>
      <c r="C252" s="388"/>
      <c r="D252" s="129">
        <f>SUM(D253)</f>
        <v>288036</v>
      </c>
      <c r="E252" s="149">
        <f>SUM(E253)</f>
        <v>284337</v>
      </c>
      <c r="F252" s="131">
        <f>SUM(F253)</f>
        <v>3699</v>
      </c>
      <c r="G252" s="151"/>
      <c r="H252" s="130"/>
      <c r="I252" s="130"/>
      <c r="J252" s="130"/>
      <c r="K252" s="130"/>
      <c r="L252" s="148"/>
      <c r="M252" s="130"/>
      <c r="N252" s="130"/>
      <c r="O252" s="148"/>
      <c r="P252" s="130"/>
      <c r="Q252" s="148"/>
      <c r="R252" s="130"/>
      <c r="S252" s="152"/>
    </row>
    <row r="253" spans="1:19" ht="18" customHeight="1">
      <c r="A253" s="34"/>
      <c r="B253" s="385" t="s">
        <v>223</v>
      </c>
      <c r="C253" s="386"/>
      <c r="D253" s="154">
        <f>SUM(D254+D258+D261+D267)</f>
        <v>288036</v>
      </c>
      <c r="E253" s="154">
        <f>SUM(E254+E258+E261+E267)</f>
        <v>284337</v>
      </c>
      <c r="F253" s="154">
        <f>SUM(F254+F258+F261+F267)</f>
        <v>3699</v>
      </c>
      <c r="G253" s="155"/>
      <c r="H253" s="156"/>
      <c r="I253" s="156"/>
      <c r="J253" s="156"/>
      <c r="K253" s="156"/>
      <c r="L253" s="153"/>
      <c r="M253" s="156"/>
      <c r="N253" s="156"/>
      <c r="O253" s="153"/>
      <c r="P253" s="156"/>
      <c r="Q253" s="153"/>
      <c r="R253" s="156"/>
      <c r="S253" s="157"/>
    </row>
    <row r="254" spans="1:19" s="56" customFormat="1" ht="18" customHeight="1">
      <c r="A254" s="53"/>
      <c r="B254" s="174"/>
      <c r="C254" s="173" t="s">
        <v>412</v>
      </c>
      <c r="D254" s="53">
        <f>INT(S257/1000)</f>
        <v>76357</v>
      </c>
      <c r="E254" s="54">
        <v>95700</v>
      </c>
      <c r="F254" s="55">
        <f>+D254-E254</f>
        <v>-19343</v>
      </c>
      <c r="G254" s="177"/>
      <c r="H254" s="178"/>
      <c r="I254" s="178"/>
      <c r="J254" s="178"/>
      <c r="K254" s="178"/>
      <c r="L254" s="179"/>
      <c r="M254" s="178"/>
      <c r="N254" s="178"/>
      <c r="O254" s="179"/>
      <c r="P254" s="178"/>
      <c r="Q254" s="179"/>
      <c r="R254" s="178"/>
      <c r="S254" s="180"/>
    </row>
    <row r="255" spans="1:19" s="56" customFormat="1" ht="15" customHeight="1">
      <c r="A255" s="53"/>
      <c r="B255" s="54"/>
      <c r="C255" s="70"/>
      <c r="D255" s="53"/>
      <c r="E255" s="54"/>
      <c r="F255" s="55"/>
      <c r="G255" s="314" t="s">
        <v>467</v>
      </c>
      <c r="H255" s="185">
        <v>6266820</v>
      </c>
      <c r="I255" s="186" t="s">
        <v>4</v>
      </c>
      <c r="J255" s="186" t="s">
        <v>1</v>
      </c>
      <c r="K255" s="185">
        <v>11</v>
      </c>
      <c r="L255" s="310" t="s">
        <v>448</v>
      </c>
      <c r="M255" s="186"/>
      <c r="N255" s="188"/>
      <c r="O255" s="187"/>
      <c r="P255" s="188"/>
      <c r="Q255" s="187"/>
      <c r="R255" s="181" t="s">
        <v>32</v>
      </c>
      <c r="S255" s="189">
        <f>H255*K255</f>
        <v>68935020</v>
      </c>
    </row>
    <row r="256" spans="1:19" s="56" customFormat="1" ht="15" customHeight="1">
      <c r="A256" s="53"/>
      <c r="B256" s="54"/>
      <c r="C256" s="70"/>
      <c r="D256" s="53"/>
      <c r="E256" s="54"/>
      <c r="F256" s="55"/>
      <c r="G256" s="314" t="s">
        <v>468</v>
      </c>
      <c r="H256" s="185">
        <v>674730</v>
      </c>
      <c r="I256" s="186" t="s">
        <v>4</v>
      </c>
      <c r="J256" s="186" t="s">
        <v>1</v>
      </c>
      <c r="K256" s="185">
        <v>11</v>
      </c>
      <c r="L256" s="310" t="s">
        <v>448</v>
      </c>
      <c r="M256" s="186"/>
      <c r="N256" s="188"/>
      <c r="O256" s="187"/>
      <c r="P256" s="188"/>
      <c r="Q256" s="187"/>
      <c r="R256" s="181" t="s">
        <v>32</v>
      </c>
      <c r="S256" s="189">
        <f>H256*K256</f>
        <v>7422030</v>
      </c>
    </row>
    <row r="257" spans="1:19" s="56" customFormat="1" ht="18" customHeight="1">
      <c r="A257" s="53"/>
      <c r="B257" s="54"/>
      <c r="C257" s="70"/>
      <c r="D257" s="53"/>
      <c r="E257" s="54"/>
      <c r="F257" s="55"/>
      <c r="G257" s="190"/>
      <c r="H257" s="191" t="s">
        <v>113</v>
      </c>
      <c r="I257" s="191" t="s">
        <v>114</v>
      </c>
      <c r="J257" s="191" t="s">
        <v>115</v>
      </c>
      <c r="K257" s="192"/>
      <c r="L257" s="191"/>
      <c r="M257" s="191"/>
      <c r="N257" s="191"/>
      <c r="O257" s="191"/>
      <c r="P257" s="191"/>
      <c r="Q257" s="191"/>
      <c r="R257" s="191"/>
      <c r="S257" s="193">
        <f>SUM(S255:S256)</f>
        <v>76357050</v>
      </c>
    </row>
    <row r="258" spans="1:19" s="56" customFormat="1" ht="18" customHeight="1">
      <c r="A258" s="53"/>
      <c r="B258" s="54"/>
      <c r="C258" s="173" t="s">
        <v>413</v>
      </c>
      <c r="D258" s="175">
        <f>INT(S260/1000)</f>
        <v>23633</v>
      </c>
      <c r="E258" s="174">
        <v>19836</v>
      </c>
      <c r="F258" s="176">
        <f>+D258-E258</f>
        <v>3797</v>
      </c>
      <c r="G258" s="177"/>
      <c r="H258" s="178"/>
      <c r="I258" s="178"/>
      <c r="J258" s="178" t="s">
        <v>114</v>
      </c>
      <c r="K258" s="178"/>
      <c r="L258" s="179"/>
      <c r="M258" s="178"/>
      <c r="N258" s="178"/>
      <c r="O258" s="179"/>
      <c r="P258" s="178"/>
      <c r="Q258" s="179"/>
      <c r="R258" s="178"/>
      <c r="S258" s="183"/>
    </row>
    <row r="259" spans="1:19" s="56" customFormat="1" ht="18" customHeight="1">
      <c r="A259" s="53"/>
      <c r="B259" s="54"/>
      <c r="C259" s="70"/>
      <c r="D259" s="53"/>
      <c r="E259" s="54"/>
      <c r="F259" s="55"/>
      <c r="G259" s="41" t="s">
        <v>414</v>
      </c>
      <c r="H259" s="185">
        <v>2954125</v>
      </c>
      <c r="I259" s="186" t="s">
        <v>109</v>
      </c>
      <c r="J259" s="186" t="s">
        <v>110</v>
      </c>
      <c r="K259" s="185">
        <v>8</v>
      </c>
      <c r="L259" s="310" t="s">
        <v>452</v>
      </c>
      <c r="M259" s="186"/>
      <c r="N259" s="188"/>
      <c r="O259" s="187"/>
      <c r="P259" s="252" t="s">
        <v>114</v>
      </c>
      <c r="Q259" s="182"/>
      <c r="R259" s="181" t="s">
        <v>112</v>
      </c>
      <c r="S259" s="189">
        <f>H259*K259</f>
        <v>23633000</v>
      </c>
    </row>
    <row r="260" spans="1:19" s="56" customFormat="1" ht="18" customHeight="1">
      <c r="A260" s="53"/>
      <c r="B260" s="54"/>
      <c r="C260" s="70"/>
      <c r="D260" s="53"/>
      <c r="E260" s="54"/>
      <c r="F260" s="55"/>
      <c r="G260" s="190"/>
      <c r="H260" s="191" t="s">
        <v>113</v>
      </c>
      <c r="I260" s="191" t="s">
        <v>114</v>
      </c>
      <c r="J260" s="191" t="s">
        <v>115</v>
      </c>
      <c r="K260" s="192"/>
      <c r="L260" s="191"/>
      <c r="M260" s="191"/>
      <c r="N260" s="191"/>
      <c r="O260" s="191"/>
      <c r="P260" s="191"/>
      <c r="Q260" s="191"/>
      <c r="R260" s="191"/>
      <c r="S260" s="193">
        <f>SUM(S259:S259)</f>
        <v>23633000</v>
      </c>
    </row>
    <row r="261" spans="1:19" s="56" customFormat="1" ht="18" customHeight="1">
      <c r="A261" s="53"/>
      <c r="B261" s="54"/>
      <c r="C261" s="173" t="s">
        <v>117</v>
      </c>
      <c r="D261" s="175">
        <f>INT(S266/1000)</f>
        <v>43281</v>
      </c>
      <c r="E261" s="174">
        <v>43701</v>
      </c>
      <c r="F261" s="176">
        <f>+D261-E261</f>
        <v>-420</v>
      </c>
      <c r="G261" s="177"/>
      <c r="H261" s="178"/>
      <c r="I261" s="178"/>
      <c r="J261" s="178" t="s">
        <v>114</v>
      </c>
      <c r="K261" s="178"/>
      <c r="L261" s="179"/>
      <c r="M261" s="178"/>
      <c r="N261" s="178"/>
      <c r="O261" s="179"/>
      <c r="P261" s="178"/>
      <c r="Q261" s="179"/>
      <c r="R261" s="178"/>
      <c r="S261" s="183"/>
    </row>
    <row r="262" spans="1:19" s="56" customFormat="1" ht="18" customHeight="1">
      <c r="A262" s="53"/>
      <c r="B262" s="54"/>
      <c r="C262" s="70"/>
      <c r="D262" s="53"/>
      <c r="E262" s="54"/>
      <c r="F262" s="55"/>
      <c r="G262" s="41" t="s">
        <v>118</v>
      </c>
      <c r="H262" s="181"/>
      <c r="I262" s="181"/>
      <c r="J262" s="181"/>
      <c r="K262" s="181"/>
      <c r="L262" s="182"/>
      <c r="M262" s="181"/>
      <c r="N262" s="181"/>
      <c r="O262" s="182"/>
      <c r="P262" s="181"/>
      <c r="Q262" s="182"/>
      <c r="R262" s="181"/>
      <c r="S262" s="183"/>
    </row>
    <row r="263" spans="1:19" s="56" customFormat="1" ht="18" customHeight="1">
      <c r="A263" s="53"/>
      <c r="B263" s="54"/>
      <c r="C263" s="70"/>
      <c r="D263" s="53"/>
      <c r="E263" s="54"/>
      <c r="F263" s="55"/>
      <c r="G263" s="253" t="s">
        <v>354</v>
      </c>
      <c r="H263" s="185"/>
      <c r="I263" s="186"/>
      <c r="J263" s="186"/>
      <c r="K263" s="185"/>
      <c r="L263" s="187"/>
      <c r="M263" s="186"/>
      <c r="N263" s="188"/>
      <c r="O263" s="187"/>
      <c r="P263" s="188"/>
      <c r="Q263" s="187"/>
      <c r="R263" s="248" t="s">
        <v>114</v>
      </c>
      <c r="S263" s="189">
        <v>7326000</v>
      </c>
    </row>
    <row r="264" spans="1:19" s="56" customFormat="1" ht="18" customHeight="1">
      <c r="A264" s="53"/>
      <c r="B264" s="54"/>
      <c r="C264" s="70"/>
      <c r="D264" s="53"/>
      <c r="E264" s="54"/>
      <c r="F264" s="55"/>
      <c r="G264" s="41" t="s">
        <v>108</v>
      </c>
      <c r="H264" s="181"/>
      <c r="I264" s="181"/>
      <c r="J264" s="181"/>
      <c r="K264" s="181"/>
      <c r="L264" s="182"/>
      <c r="M264" s="181"/>
      <c r="N264" s="181"/>
      <c r="O264" s="182"/>
      <c r="P264" s="181"/>
      <c r="Q264" s="182"/>
      <c r="R264" s="181"/>
      <c r="S264" s="183"/>
    </row>
    <row r="265" spans="1:19" s="56" customFormat="1" ht="18" customHeight="1">
      <c r="A265" s="53"/>
      <c r="B265" s="54"/>
      <c r="C265" s="70"/>
      <c r="D265" s="53"/>
      <c r="E265" s="54"/>
      <c r="F265" s="55"/>
      <c r="G265" s="253" t="s">
        <v>355</v>
      </c>
      <c r="H265" s="185"/>
      <c r="I265" s="186"/>
      <c r="J265" s="186"/>
      <c r="K265" s="185"/>
      <c r="L265" s="187"/>
      <c r="M265" s="186"/>
      <c r="N265" s="188"/>
      <c r="O265" s="187"/>
      <c r="P265" s="188"/>
      <c r="Q265" s="187"/>
      <c r="R265" s="181"/>
      <c r="S265" s="189">
        <v>35955000</v>
      </c>
    </row>
    <row r="266" spans="1:19" s="56" customFormat="1" ht="18" customHeight="1">
      <c r="A266" s="53"/>
      <c r="B266" s="54"/>
      <c r="C266" s="70"/>
      <c r="D266" s="53"/>
      <c r="E266" s="54"/>
      <c r="F266" s="55"/>
      <c r="G266" s="190"/>
      <c r="H266" s="191" t="s">
        <v>113</v>
      </c>
      <c r="I266" s="191" t="s">
        <v>114</v>
      </c>
      <c r="J266" s="191" t="s">
        <v>115</v>
      </c>
      <c r="K266" s="192"/>
      <c r="L266" s="191"/>
      <c r="M266" s="191"/>
      <c r="N266" s="191"/>
      <c r="O266" s="191"/>
      <c r="P266" s="191"/>
      <c r="Q266" s="191"/>
      <c r="R266" s="191"/>
      <c r="S266" s="193">
        <f>SUM(S263:S265)</f>
        <v>43281000</v>
      </c>
    </row>
    <row r="267" spans="1:19" s="56" customFormat="1" ht="18" customHeight="1">
      <c r="A267" s="53"/>
      <c r="B267" s="54"/>
      <c r="C267" s="173" t="s">
        <v>119</v>
      </c>
      <c r="D267" s="175">
        <f>INT(S315/1000)+1</f>
        <v>144765</v>
      </c>
      <c r="E267" s="174">
        <v>125100</v>
      </c>
      <c r="F267" s="176">
        <f>+D267-E267</f>
        <v>19665</v>
      </c>
      <c r="G267" s="177"/>
      <c r="H267" s="178"/>
      <c r="I267" s="178"/>
      <c r="J267" s="178"/>
      <c r="K267" s="178"/>
      <c r="L267" s="179"/>
      <c r="M267" s="178"/>
      <c r="N267" s="178"/>
      <c r="O267" s="179"/>
      <c r="P267" s="178"/>
      <c r="Q267" s="179"/>
      <c r="R267" s="178"/>
      <c r="S267" s="180"/>
    </row>
    <row r="268" spans="1:19" s="56" customFormat="1" ht="18" customHeight="1" hidden="1">
      <c r="A268" s="53"/>
      <c r="B268" s="54"/>
      <c r="C268" s="70"/>
      <c r="D268" s="53"/>
      <c r="E268" s="54"/>
      <c r="F268" s="55"/>
      <c r="G268" s="41" t="s">
        <v>120</v>
      </c>
      <c r="H268" s="194"/>
      <c r="I268" s="184"/>
      <c r="J268" s="184"/>
      <c r="K268" s="184"/>
      <c r="L268" s="195"/>
      <c r="M268" s="184"/>
      <c r="N268" s="184"/>
      <c r="O268" s="195"/>
      <c r="P268" s="184"/>
      <c r="Q268" s="195"/>
      <c r="R268" s="184"/>
      <c r="S268" s="60" t="e">
        <f>S269+S278+S287</f>
        <v>#DIV/0!</v>
      </c>
    </row>
    <row r="269" spans="1:19" s="56" customFormat="1" ht="18" customHeight="1" hidden="1">
      <c r="A269" s="53"/>
      <c r="B269" s="54"/>
      <c r="C269" s="70"/>
      <c r="D269" s="53"/>
      <c r="E269" s="54"/>
      <c r="F269" s="55"/>
      <c r="G269" s="41" t="s">
        <v>121</v>
      </c>
      <c r="H269" s="194"/>
      <c r="I269" s="184"/>
      <c r="J269" s="184"/>
      <c r="K269" s="184"/>
      <c r="L269" s="195"/>
      <c r="M269" s="184"/>
      <c r="N269" s="184"/>
      <c r="O269" s="195"/>
      <c r="P269" s="184"/>
      <c r="Q269" s="195"/>
      <c r="R269" s="184"/>
      <c r="S269" s="60" t="e">
        <f>SUM(S270:S272,S277)</f>
        <v>#DIV/0!</v>
      </c>
    </row>
    <row r="270" spans="1:19" s="56" customFormat="1" ht="18" customHeight="1" hidden="1">
      <c r="A270" s="53"/>
      <c r="B270" s="54"/>
      <c r="C270" s="70"/>
      <c r="D270" s="53"/>
      <c r="E270" s="54"/>
      <c r="F270" s="55"/>
      <c r="G270" s="196" t="s">
        <v>122</v>
      </c>
      <c r="H270" s="185"/>
      <c r="I270" s="186" t="s">
        <v>109</v>
      </c>
      <c r="J270" s="186" t="s">
        <v>110</v>
      </c>
      <c r="K270" s="185"/>
      <c r="L270" s="187" t="s">
        <v>123</v>
      </c>
      <c r="M270" s="186" t="s">
        <v>124</v>
      </c>
      <c r="N270" s="188" t="s">
        <v>114</v>
      </c>
      <c r="O270" s="187" t="s">
        <v>124</v>
      </c>
      <c r="P270" s="188" t="s">
        <v>114</v>
      </c>
      <c r="Q270" s="187" t="s">
        <v>124</v>
      </c>
      <c r="R270" s="197" t="s">
        <v>112</v>
      </c>
      <c r="S270" s="183">
        <f>ROUNDUP(H270*K270/1000,0)*1000</f>
        <v>0</v>
      </c>
    </row>
    <row r="271" spans="1:19" s="56" customFormat="1" ht="18" customHeight="1" hidden="1">
      <c r="A271" s="53"/>
      <c r="B271" s="54"/>
      <c r="C271" s="70"/>
      <c r="D271" s="53"/>
      <c r="E271" s="54"/>
      <c r="F271" s="55"/>
      <c r="G271" s="196" t="s">
        <v>125</v>
      </c>
      <c r="H271" s="185"/>
      <c r="I271" s="186" t="s">
        <v>109</v>
      </c>
      <c r="J271" s="186" t="s">
        <v>110</v>
      </c>
      <c r="K271" s="185"/>
      <c r="L271" s="187" t="s">
        <v>123</v>
      </c>
      <c r="M271" s="186" t="s">
        <v>110</v>
      </c>
      <c r="N271" s="188"/>
      <c r="O271" s="187" t="s">
        <v>116</v>
      </c>
      <c r="P271" s="188"/>
      <c r="Q271" s="187" t="s">
        <v>116</v>
      </c>
      <c r="R271" s="197" t="s">
        <v>112</v>
      </c>
      <c r="S271" s="183">
        <f>ROUNDUP(H271*K271*P271/1000,0)*1000</f>
        <v>0</v>
      </c>
    </row>
    <row r="272" spans="1:19" s="56" customFormat="1" ht="18" customHeight="1" hidden="1">
      <c r="A272" s="53"/>
      <c r="B272" s="54"/>
      <c r="C272" s="70"/>
      <c r="D272" s="53"/>
      <c r="E272" s="54"/>
      <c r="F272" s="55"/>
      <c r="G272" s="196" t="s">
        <v>126</v>
      </c>
      <c r="H272" s="181"/>
      <c r="I272" s="181"/>
      <c r="J272" s="181"/>
      <c r="K272" s="181"/>
      <c r="L272" s="182"/>
      <c r="M272" s="181"/>
      <c r="N272" s="181"/>
      <c r="O272" s="182"/>
      <c r="P272" s="181"/>
      <c r="Q272" s="182"/>
      <c r="R272" s="181"/>
      <c r="S272" s="183">
        <f>SUM(S273:S276)</f>
        <v>332000</v>
      </c>
    </row>
    <row r="273" spans="1:19" s="56" customFormat="1" ht="18" customHeight="1" hidden="1">
      <c r="A273" s="53"/>
      <c r="B273" s="54"/>
      <c r="C273" s="70"/>
      <c r="D273" s="53"/>
      <c r="E273" s="54"/>
      <c r="F273" s="55"/>
      <c r="G273" s="196" t="s">
        <v>127</v>
      </c>
      <c r="H273" s="181"/>
      <c r="I273" s="186" t="s">
        <v>109</v>
      </c>
      <c r="J273" s="186" t="s">
        <v>5</v>
      </c>
      <c r="K273" s="198"/>
      <c r="L273" s="184" t="s">
        <v>128</v>
      </c>
      <c r="M273" s="181"/>
      <c r="N273" s="181"/>
      <c r="O273" s="182"/>
      <c r="P273" s="181"/>
      <c r="Q273" s="182"/>
      <c r="R273" s="197" t="s">
        <v>112</v>
      </c>
      <c r="S273" s="183">
        <f>ROUNDUP(H273*K273/100,-3)</f>
        <v>0</v>
      </c>
    </row>
    <row r="274" spans="1:19" s="56" customFormat="1" ht="18" customHeight="1" hidden="1">
      <c r="A274" s="53"/>
      <c r="B274" s="54"/>
      <c r="C274" s="70"/>
      <c r="D274" s="53"/>
      <c r="E274" s="54"/>
      <c r="F274" s="55"/>
      <c r="G274" s="184" t="s">
        <v>129</v>
      </c>
      <c r="H274" s="181"/>
      <c r="I274" s="186" t="s">
        <v>109</v>
      </c>
      <c r="J274" s="186" t="s">
        <v>5</v>
      </c>
      <c r="K274" s="198"/>
      <c r="L274" s="184" t="s">
        <v>128</v>
      </c>
      <c r="M274" s="181"/>
      <c r="N274" s="181"/>
      <c r="O274" s="182"/>
      <c r="P274" s="181"/>
      <c r="Q274" s="182"/>
      <c r="R274" s="197" t="s">
        <v>112</v>
      </c>
      <c r="S274" s="183">
        <f>ROUNDUP(H274*K274/100,-3)</f>
        <v>0</v>
      </c>
    </row>
    <row r="275" spans="1:19" s="56" customFormat="1" ht="18" customHeight="1" hidden="1">
      <c r="A275" s="53"/>
      <c r="B275" s="54"/>
      <c r="C275" s="70"/>
      <c r="D275" s="53"/>
      <c r="E275" s="54"/>
      <c r="F275" s="55"/>
      <c r="G275" s="184" t="s">
        <v>130</v>
      </c>
      <c r="H275" s="181"/>
      <c r="I275" s="186" t="s">
        <v>109</v>
      </c>
      <c r="J275" s="186" t="s">
        <v>5</v>
      </c>
      <c r="K275" s="199"/>
      <c r="L275" s="184" t="s">
        <v>128</v>
      </c>
      <c r="M275" s="181"/>
      <c r="N275" s="181"/>
      <c r="O275" s="182"/>
      <c r="P275" s="181"/>
      <c r="Q275" s="182"/>
      <c r="R275" s="197" t="s">
        <v>112</v>
      </c>
      <c r="S275" s="183">
        <v>332000</v>
      </c>
    </row>
    <row r="276" spans="1:19" s="56" customFormat="1" ht="18" customHeight="1" hidden="1">
      <c r="A276" s="53"/>
      <c r="B276" s="54"/>
      <c r="C276" s="70"/>
      <c r="D276" s="53"/>
      <c r="E276" s="54"/>
      <c r="F276" s="55"/>
      <c r="G276" s="184" t="s">
        <v>131</v>
      </c>
      <c r="H276" s="181"/>
      <c r="I276" s="186" t="s">
        <v>109</v>
      </c>
      <c r="J276" s="186" t="s">
        <v>5</v>
      </c>
      <c r="K276" s="198"/>
      <c r="L276" s="184" t="s">
        <v>128</v>
      </c>
      <c r="M276" s="184"/>
      <c r="N276" s="184"/>
      <c r="O276" s="195"/>
      <c r="P276" s="184"/>
      <c r="Q276" s="195"/>
      <c r="R276" s="197" t="s">
        <v>112</v>
      </c>
      <c r="S276" s="183">
        <f>ROUNDUP(H276*K276/100,-3)</f>
        <v>0</v>
      </c>
    </row>
    <row r="277" spans="1:19" s="56" customFormat="1" ht="18" customHeight="1" hidden="1">
      <c r="A277" s="53"/>
      <c r="B277" s="54"/>
      <c r="C277" s="70"/>
      <c r="D277" s="53"/>
      <c r="E277" s="54"/>
      <c r="F277" s="55"/>
      <c r="G277" s="196" t="s">
        <v>132</v>
      </c>
      <c r="H277" s="181"/>
      <c r="I277" s="186" t="s">
        <v>109</v>
      </c>
      <c r="J277" s="200" t="s">
        <v>133</v>
      </c>
      <c r="K277" s="185"/>
      <c r="L277" s="187" t="s">
        <v>134</v>
      </c>
      <c r="M277" s="181"/>
      <c r="N277" s="181"/>
      <c r="O277" s="182"/>
      <c r="P277" s="181"/>
      <c r="Q277" s="182"/>
      <c r="R277" s="197" t="s">
        <v>112</v>
      </c>
      <c r="S277" s="183" t="e">
        <f>ROUNDUP(H277/K277/1000,0)*1000</f>
        <v>#DIV/0!</v>
      </c>
    </row>
    <row r="278" spans="1:19" s="56" customFormat="1" ht="18" customHeight="1" hidden="1">
      <c r="A278" s="53"/>
      <c r="B278" s="54"/>
      <c r="C278" s="70"/>
      <c r="D278" s="53"/>
      <c r="E278" s="54"/>
      <c r="F278" s="55"/>
      <c r="G278" s="41" t="s">
        <v>135</v>
      </c>
      <c r="H278" s="194"/>
      <c r="I278" s="184"/>
      <c r="J278" s="184"/>
      <c r="K278" s="184"/>
      <c r="L278" s="195"/>
      <c r="M278" s="184"/>
      <c r="N278" s="184"/>
      <c r="O278" s="195"/>
      <c r="P278" s="184"/>
      <c r="Q278" s="195"/>
      <c r="R278" s="184"/>
      <c r="S278" s="60" t="e">
        <f>SUM(S279:S281,S286)</f>
        <v>#DIV/0!</v>
      </c>
    </row>
    <row r="279" spans="1:19" s="56" customFormat="1" ht="18" customHeight="1" hidden="1">
      <c r="A279" s="53"/>
      <c r="B279" s="54"/>
      <c r="C279" s="70"/>
      <c r="D279" s="53"/>
      <c r="E279" s="54"/>
      <c r="F279" s="55"/>
      <c r="G279" s="196" t="s">
        <v>122</v>
      </c>
      <c r="H279" s="185"/>
      <c r="I279" s="186" t="s">
        <v>109</v>
      </c>
      <c r="J279" s="186" t="s">
        <v>110</v>
      </c>
      <c r="K279" s="185"/>
      <c r="L279" s="187" t="s">
        <v>123</v>
      </c>
      <c r="M279" s="186" t="s">
        <v>124</v>
      </c>
      <c r="N279" s="188" t="s">
        <v>114</v>
      </c>
      <c r="O279" s="187" t="s">
        <v>124</v>
      </c>
      <c r="P279" s="188" t="s">
        <v>114</v>
      </c>
      <c r="Q279" s="187" t="s">
        <v>124</v>
      </c>
      <c r="R279" s="197" t="s">
        <v>112</v>
      </c>
      <c r="S279" s="183">
        <f>ROUNDUP(H279*K279/1000,0)*1000</f>
        <v>0</v>
      </c>
    </row>
    <row r="280" spans="1:19" s="56" customFormat="1" ht="18" customHeight="1" hidden="1">
      <c r="A280" s="53"/>
      <c r="B280" s="54"/>
      <c r="C280" s="70"/>
      <c r="D280" s="53"/>
      <c r="E280" s="54"/>
      <c r="F280" s="55"/>
      <c r="G280" s="196" t="s">
        <v>125</v>
      </c>
      <c r="H280" s="185"/>
      <c r="I280" s="186" t="s">
        <v>109</v>
      </c>
      <c r="J280" s="186" t="s">
        <v>110</v>
      </c>
      <c r="K280" s="185"/>
      <c r="L280" s="187" t="s">
        <v>123</v>
      </c>
      <c r="M280" s="186" t="s">
        <v>110</v>
      </c>
      <c r="N280" s="188"/>
      <c r="O280" s="187" t="s">
        <v>116</v>
      </c>
      <c r="P280" s="188"/>
      <c r="Q280" s="187" t="s">
        <v>116</v>
      </c>
      <c r="R280" s="197" t="s">
        <v>112</v>
      </c>
      <c r="S280" s="183">
        <f>ROUNDUP(H280*K280*P280/1000,0)*1000</f>
        <v>0</v>
      </c>
    </row>
    <row r="281" spans="1:19" s="56" customFormat="1" ht="18" customHeight="1" hidden="1">
      <c r="A281" s="53"/>
      <c r="B281" s="54"/>
      <c r="C281" s="70"/>
      <c r="D281" s="53"/>
      <c r="E281" s="54"/>
      <c r="F281" s="55"/>
      <c r="G281" s="196" t="s">
        <v>126</v>
      </c>
      <c r="H281" s="181"/>
      <c r="I281" s="181"/>
      <c r="J281" s="181"/>
      <c r="K281" s="181"/>
      <c r="L281" s="182"/>
      <c r="M281" s="181"/>
      <c r="N281" s="181"/>
      <c r="O281" s="182"/>
      <c r="P281" s="181"/>
      <c r="Q281" s="182"/>
      <c r="R281" s="181"/>
      <c r="S281" s="183">
        <f>SUM(S282:S285)</f>
        <v>0</v>
      </c>
    </row>
    <row r="282" spans="1:19" s="56" customFormat="1" ht="18" customHeight="1" hidden="1">
      <c r="A282" s="53"/>
      <c r="B282" s="54"/>
      <c r="C282" s="70"/>
      <c r="D282" s="53"/>
      <c r="E282" s="54"/>
      <c r="F282" s="55"/>
      <c r="G282" s="196" t="s">
        <v>127</v>
      </c>
      <c r="H282" s="181"/>
      <c r="I282" s="186" t="s">
        <v>109</v>
      </c>
      <c r="J282" s="186" t="s">
        <v>5</v>
      </c>
      <c r="K282" s="198"/>
      <c r="L282" s="184" t="s">
        <v>128</v>
      </c>
      <c r="M282" s="181"/>
      <c r="N282" s="181"/>
      <c r="O282" s="182"/>
      <c r="P282" s="181"/>
      <c r="Q282" s="182"/>
      <c r="R282" s="197" t="s">
        <v>112</v>
      </c>
      <c r="S282" s="183">
        <f>ROUNDUP(H282*K282/100,-3)</f>
        <v>0</v>
      </c>
    </row>
    <row r="283" spans="1:19" s="56" customFormat="1" ht="18" customHeight="1" hidden="1">
      <c r="A283" s="53"/>
      <c r="B283" s="54"/>
      <c r="C283" s="70"/>
      <c r="D283" s="53"/>
      <c r="E283" s="54"/>
      <c r="F283" s="55"/>
      <c r="G283" s="184" t="s">
        <v>129</v>
      </c>
      <c r="H283" s="181"/>
      <c r="I283" s="186" t="s">
        <v>109</v>
      </c>
      <c r="J283" s="186" t="s">
        <v>5</v>
      </c>
      <c r="K283" s="198"/>
      <c r="L283" s="184" t="s">
        <v>128</v>
      </c>
      <c r="M283" s="181"/>
      <c r="N283" s="181"/>
      <c r="O283" s="182"/>
      <c r="P283" s="181"/>
      <c r="Q283" s="182"/>
      <c r="R283" s="197" t="s">
        <v>112</v>
      </c>
      <c r="S283" s="183">
        <f>ROUNDUP(H283*K283/100,-3)</f>
        <v>0</v>
      </c>
    </row>
    <row r="284" spans="1:19" s="56" customFormat="1" ht="18" customHeight="1" hidden="1">
      <c r="A284" s="53"/>
      <c r="B284" s="54"/>
      <c r="C284" s="70"/>
      <c r="D284" s="53"/>
      <c r="E284" s="54"/>
      <c r="F284" s="55"/>
      <c r="G284" s="184" t="s">
        <v>130</v>
      </c>
      <c r="H284" s="181"/>
      <c r="I284" s="186" t="s">
        <v>109</v>
      </c>
      <c r="J284" s="186" t="s">
        <v>5</v>
      </c>
      <c r="K284" s="199"/>
      <c r="L284" s="184" t="s">
        <v>128</v>
      </c>
      <c r="M284" s="181"/>
      <c r="N284" s="181"/>
      <c r="O284" s="182"/>
      <c r="P284" s="181"/>
      <c r="Q284" s="182"/>
      <c r="R284" s="197" t="s">
        <v>112</v>
      </c>
      <c r="S284" s="183">
        <f>ROUNDUP(H284*K284/100,-3)</f>
        <v>0</v>
      </c>
    </row>
    <row r="285" spans="1:19" s="56" customFormat="1" ht="18" customHeight="1" hidden="1">
      <c r="A285" s="53"/>
      <c r="B285" s="54"/>
      <c r="C285" s="70"/>
      <c r="D285" s="53"/>
      <c r="E285" s="54"/>
      <c r="F285" s="55"/>
      <c r="G285" s="184" t="s">
        <v>131</v>
      </c>
      <c r="H285" s="181"/>
      <c r="I285" s="186" t="s">
        <v>109</v>
      </c>
      <c r="J285" s="186" t="s">
        <v>5</v>
      </c>
      <c r="K285" s="198"/>
      <c r="L285" s="184" t="s">
        <v>128</v>
      </c>
      <c r="M285" s="184"/>
      <c r="N285" s="184"/>
      <c r="O285" s="195"/>
      <c r="P285" s="184"/>
      <c r="Q285" s="195"/>
      <c r="R285" s="197" t="s">
        <v>112</v>
      </c>
      <c r="S285" s="183">
        <f>ROUNDUP(H285*K285/100,-3)</f>
        <v>0</v>
      </c>
    </row>
    <row r="286" spans="1:19" s="56" customFormat="1" ht="18" customHeight="1" hidden="1">
      <c r="A286" s="53"/>
      <c r="B286" s="54"/>
      <c r="C286" s="70"/>
      <c r="D286" s="53"/>
      <c r="E286" s="54"/>
      <c r="F286" s="55"/>
      <c r="G286" s="196" t="s">
        <v>132</v>
      </c>
      <c r="H286" s="181"/>
      <c r="I286" s="186" t="s">
        <v>109</v>
      </c>
      <c r="J286" s="200" t="s">
        <v>133</v>
      </c>
      <c r="K286" s="185"/>
      <c r="L286" s="187" t="s">
        <v>134</v>
      </c>
      <c r="M286" s="181"/>
      <c r="N286" s="181"/>
      <c r="O286" s="182"/>
      <c r="P286" s="181"/>
      <c r="Q286" s="182"/>
      <c r="R286" s="197" t="s">
        <v>112</v>
      </c>
      <c r="S286" s="183" t="e">
        <f>ROUNDUP(H286/K286/1000,0)*1000</f>
        <v>#DIV/0!</v>
      </c>
    </row>
    <row r="287" spans="1:19" s="56" customFormat="1" ht="18" customHeight="1" hidden="1">
      <c r="A287" s="53"/>
      <c r="B287" s="54"/>
      <c r="C287" s="70"/>
      <c r="D287" s="53"/>
      <c r="E287" s="54"/>
      <c r="F287" s="55"/>
      <c r="G287" s="41" t="s">
        <v>136</v>
      </c>
      <c r="H287" s="194" t="e">
        <f>S287/SUM('[1]세입'!D33*1000)</f>
        <v>#DIV/0!</v>
      </c>
      <c r="I287" s="184"/>
      <c r="J287" s="184"/>
      <c r="K287" s="184"/>
      <c r="L287" s="195"/>
      <c r="M287" s="184"/>
      <c r="N287" s="184"/>
      <c r="O287" s="195"/>
      <c r="P287" s="184"/>
      <c r="Q287" s="195"/>
      <c r="R287" s="184"/>
      <c r="S287" s="60" t="e">
        <f>SUM(S288:S290,S295)</f>
        <v>#DIV/0!</v>
      </c>
    </row>
    <row r="288" spans="1:19" s="56" customFormat="1" ht="18" customHeight="1" hidden="1">
      <c r="A288" s="53"/>
      <c r="B288" s="54"/>
      <c r="C288" s="70"/>
      <c r="D288" s="53"/>
      <c r="E288" s="54"/>
      <c r="F288" s="55"/>
      <c r="G288" s="196" t="s">
        <v>122</v>
      </c>
      <c r="H288" s="185"/>
      <c r="I288" s="186" t="s">
        <v>109</v>
      </c>
      <c r="J288" s="186" t="s">
        <v>110</v>
      </c>
      <c r="K288" s="185"/>
      <c r="L288" s="187" t="s">
        <v>123</v>
      </c>
      <c r="M288" s="186" t="s">
        <v>124</v>
      </c>
      <c r="N288" s="188" t="s">
        <v>114</v>
      </c>
      <c r="O288" s="187" t="s">
        <v>124</v>
      </c>
      <c r="P288" s="188" t="s">
        <v>114</v>
      </c>
      <c r="Q288" s="187" t="s">
        <v>124</v>
      </c>
      <c r="R288" s="197" t="s">
        <v>112</v>
      </c>
      <c r="S288" s="183">
        <f>ROUNDUP(H288*K288/1000,0)*1000</f>
        <v>0</v>
      </c>
    </row>
    <row r="289" spans="1:19" s="56" customFormat="1" ht="18" customHeight="1" hidden="1">
      <c r="A289" s="53"/>
      <c r="B289" s="54"/>
      <c r="C289" s="70"/>
      <c r="D289" s="53"/>
      <c r="E289" s="54"/>
      <c r="F289" s="55"/>
      <c r="G289" s="196" t="s">
        <v>125</v>
      </c>
      <c r="H289" s="185"/>
      <c r="I289" s="186" t="s">
        <v>109</v>
      </c>
      <c r="J289" s="186" t="s">
        <v>110</v>
      </c>
      <c r="K289" s="185"/>
      <c r="L289" s="187" t="s">
        <v>123</v>
      </c>
      <c r="M289" s="186" t="s">
        <v>110</v>
      </c>
      <c r="N289" s="188"/>
      <c r="O289" s="187" t="s">
        <v>116</v>
      </c>
      <c r="P289" s="188"/>
      <c r="Q289" s="187" t="s">
        <v>116</v>
      </c>
      <c r="R289" s="197" t="s">
        <v>112</v>
      </c>
      <c r="S289" s="183">
        <f>ROUNDUP(H289*K289*P289/1000,0)*1000</f>
        <v>0</v>
      </c>
    </row>
    <row r="290" spans="1:19" s="56" customFormat="1" ht="18" customHeight="1" hidden="1">
      <c r="A290" s="53"/>
      <c r="B290" s="54"/>
      <c r="C290" s="70"/>
      <c r="D290" s="53"/>
      <c r="E290" s="54"/>
      <c r="F290" s="55"/>
      <c r="G290" s="196" t="s">
        <v>126</v>
      </c>
      <c r="H290" s="181"/>
      <c r="I290" s="181"/>
      <c r="J290" s="181"/>
      <c r="K290" s="181"/>
      <c r="L290" s="182"/>
      <c r="M290" s="181"/>
      <c r="N290" s="181"/>
      <c r="O290" s="182"/>
      <c r="P290" s="181"/>
      <c r="Q290" s="182"/>
      <c r="R290" s="181"/>
      <c r="S290" s="183">
        <f>SUM(S291:S294)</f>
        <v>0</v>
      </c>
    </row>
    <row r="291" spans="1:19" s="56" customFormat="1" ht="18" customHeight="1" hidden="1">
      <c r="A291" s="53"/>
      <c r="B291" s="54"/>
      <c r="C291" s="70"/>
      <c r="D291" s="53"/>
      <c r="E291" s="54"/>
      <c r="F291" s="55"/>
      <c r="G291" s="196" t="s">
        <v>127</v>
      </c>
      <c r="H291" s="181"/>
      <c r="I291" s="186" t="s">
        <v>109</v>
      </c>
      <c r="J291" s="186" t="s">
        <v>5</v>
      </c>
      <c r="K291" s="198"/>
      <c r="L291" s="184" t="s">
        <v>128</v>
      </c>
      <c r="M291" s="181"/>
      <c r="N291" s="181"/>
      <c r="O291" s="182"/>
      <c r="P291" s="181"/>
      <c r="Q291" s="182"/>
      <c r="R291" s="197" t="s">
        <v>112</v>
      </c>
      <c r="S291" s="183">
        <f>ROUNDUP(H291*K291/100,-3)</f>
        <v>0</v>
      </c>
    </row>
    <row r="292" spans="1:19" s="56" customFormat="1" ht="18" customHeight="1" hidden="1">
      <c r="A292" s="53"/>
      <c r="B292" s="54"/>
      <c r="C292" s="70"/>
      <c r="D292" s="53"/>
      <c r="E292" s="54"/>
      <c r="F292" s="55"/>
      <c r="G292" s="184" t="s">
        <v>129</v>
      </c>
      <c r="H292" s="181"/>
      <c r="I292" s="186" t="s">
        <v>109</v>
      </c>
      <c r="J292" s="186" t="s">
        <v>5</v>
      </c>
      <c r="K292" s="198"/>
      <c r="L292" s="184" t="s">
        <v>128</v>
      </c>
      <c r="M292" s="181"/>
      <c r="N292" s="181"/>
      <c r="O292" s="182"/>
      <c r="P292" s="181"/>
      <c r="Q292" s="182"/>
      <c r="R292" s="197" t="s">
        <v>112</v>
      </c>
      <c r="S292" s="183">
        <f>ROUNDUP(H292*K292/100,-3)</f>
        <v>0</v>
      </c>
    </row>
    <row r="293" spans="1:19" s="56" customFormat="1" ht="18" customHeight="1" hidden="1">
      <c r="A293" s="53"/>
      <c r="B293" s="54"/>
      <c r="C293" s="70"/>
      <c r="D293" s="53"/>
      <c r="E293" s="54"/>
      <c r="F293" s="55"/>
      <c r="G293" s="184" t="s">
        <v>130</v>
      </c>
      <c r="H293" s="181"/>
      <c r="I293" s="186" t="s">
        <v>109</v>
      </c>
      <c r="J293" s="186" t="s">
        <v>5</v>
      </c>
      <c r="K293" s="199"/>
      <c r="L293" s="184" t="s">
        <v>128</v>
      </c>
      <c r="M293" s="181"/>
      <c r="N293" s="181"/>
      <c r="O293" s="182"/>
      <c r="P293" s="181"/>
      <c r="Q293" s="182"/>
      <c r="R293" s="197" t="s">
        <v>112</v>
      </c>
      <c r="S293" s="183">
        <f>ROUNDUP(H293*K293/100,-3)</f>
        <v>0</v>
      </c>
    </row>
    <row r="294" spans="1:19" s="56" customFormat="1" ht="18" customHeight="1" hidden="1">
      <c r="A294" s="53"/>
      <c r="B294" s="54"/>
      <c r="C294" s="70"/>
      <c r="D294" s="53"/>
      <c r="E294" s="54"/>
      <c r="F294" s="55"/>
      <c r="G294" s="184" t="s">
        <v>131</v>
      </c>
      <c r="H294" s="181"/>
      <c r="I294" s="186" t="s">
        <v>109</v>
      </c>
      <c r="J294" s="186" t="s">
        <v>5</v>
      </c>
      <c r="K294" s="198"/>
      <c r="L294" s="184" t="s">
        <v>128</v>
      </c>
      <c r="M294" s="184"/>
      <c r="N294" s="184"/>
      <c r="O294" s="195"/>
      <c r="P294" s="184"/>
      <c r="Q294" s="195"/>
      <c r="R294" s="197" t="s">
        <v>112</v>
      </c>
      <c r="S294" s="183">
        <f>ROUNDUP(H294*K294/100,-3)</f>
        <v>0</v>
      </c>
    </row>
    <row r="295" spans="1:19" s="56" customFormat="1" ht="18" customHeight="1" hidden="1">
      <c r="A295" s="53"/>
      <c r="B295" s="54"/>
      <c r="C295" s="70"/>
      <c r="D295" s="53"/>
      <c r="E295" s="54"/>
      <c r="F295" s="55"/>
      <c r="G295" s="196" t="s">
        <v>132</v>
      </c>
      <c r="H295" s="181"/>
      <c r="I295" s="186" t="s">
        <v>109</v>
      </c>
      <c r="J295" s="200" t="s">
        <v>133</v>
      </c>
      <c r="K295" s="185"/>
      <c r="L295" s="187" t="s">
        <v>134</v>
      </c>
      <c r="M295" s="181"/>
      <c r="N295" s="181"/>
      <c r="O295" s="182"/>
      <c r="P295" s="181"/>
      <c r="Q295" s="182"/>
      <c r="R295" s="197" t="s">
        <v>112</v>
      </c>
      <c r="S295" s="183" t="e">
        <f>ROUNDUP(H295/K295/1000,0)*1000</f>
        <v>#DIV/0!</v>
      </c>
    </row>
    <row r="296" spans="1:19" s="56" customFormat="1" ht="18" customHeight="1" hidden="1">
      <c r="A296" s="53"/>
      <c r="B296" s="54"/>
      <c r="C296" s="70"/>
      <c r="D296" s="53"/>
      <c r="E296" s="54"/>
      <c r="F296" s="55"/>
      <c r="G296" s="201"/>
      <c r="H296" s="184"/>
      <c r="I296" s="184"/>
      <c r="J296" s="184"/>
      <c r="K296" s="184"/>
      <c r="L296" s="184"/>
      <c r="M296" s="184"/>
      <c r="N296" s="202"/>
      <c r="O296" s="184"/>
      <c r="P296" s="202"/>
      <c r="Q296" s="184"/>
      <c r="R296" s="184"/>
      <c r="S296" s="183"/>
    </row>
    <row r="297" spans="1:19" s="56" customFormat="1" ht="18" customHeight="1">
      <c r="A297" s="53"/>
      <c r="B297" s="54"/>
      <c r="C297" s="70"/>
      <c r="D297" s="53"/>
      <c r="E297" s="54"/>
      <c r="F297" s="55"/>
      <c r="G297" s="41" t="s">
        <v>415</v>
      </c>
      <c r="H297" s="184">
        <v>7459330</v>
      </c>
      <c r="I297" s="253" t="s">
        <v>523</v>
      </c>
      <c r="J297" s="186" t="s">
        <v>5</v>
      </c>
      <c r="K297" s="184">
        <v>12</v>
      </c>
      <c r="L297" s="195" t="s">
        <v>152</v>
      </c>
      <c r="M297" s="186"/>
      <c r="N297" s="184"/>
      <c r="O297" s="195"/>
      <c r="P297" s="184"/>
      <c r="Q297" s="195"/>
      <c r="R297" s="184" t="s">
        <v>112</v>
      </c>
      <c r="S297" s="189">
        <f>H297*K297</f>
        <v>89511960</v>
      </c>
    </row>
    <row r="298" spans="1:19" s="56" customFormat="1" ht="18" customHeight="1">
      <c r="A298" s="53"/>
      <c r="B298" s="54"/>
      <c r="C298" s="70"/>
      <c r="D298" s="53"/>
      <c r="E298" s="54"/>
      <c r="F298" s="55"/>
      <c r="G298" s="41" t="s">
        <v>469</v>
      </c>
      <c r="H298" s="184">
        <v>436970</v>
      </c>
      <c r="I298" s="184" t="s">
        <v>35</v>
      </c>
      <c r="J298" s="186" t="s">
        <v>5</v>
      </c>
      <c r="K298" s="184">
        <v>12</v>
      </c>
      <c r="L298" s="195" t="s">
        <v>40</v>
      </c>
      <c r="M298" s="186"/>
      <c r="N298" s="184"/>
      <c r="O298" s="195"/>
      <c r="P298" s="184"/>
      <c r="Q298" s="195"/>
      <c r="R298" s="184" t="s">
        <v>32</v>
      </c>
      <c r="S298" s="183">
        <f>H298*K298</f>
        <v>5243640</v>
      </c>
    </row>
    <row r="299" spans="1:19" s="56" customFormat="1" ht="18" customHeight="1">
      <c r="A299" s="53"/>
      <c r="B299" s="54"/>
      <c r="C299" s="70"/>
      <c r="D299" s="53"/>
      <c r="E299" s="54"/>
      <c r="F299" s="55"/>
      <c r="G299" s="41" t="s">
        <v>416</v>
      </c>
      <c r="H299" s="184">
        <v>94770</v>
      </c>
      <c r="I299" s="184" t="s">
        <v>35</v>
      </c>
      <c r="J299" s="186" t="s">
        <v>5</v>
      </c>
      <c r="K299" s="184">
        <v>12</v>
      </c>
      <c r="L299" s="195" t="s">
        <v>40</v>
      </c>
      <c r="M299" s="186"/>
      <c r="N299" s="184"/>
      <c r="O299" s="195"/>
      <c r="P299" s="184"/>
      <c r="Q299" s="195"/>
      <c r="R299" s="184" t="s">
        <v>112</v>
      </c>
      <c r="S299" s="183">
        <f>H299*K299</f>
        <v>1137240</v>
      </c>
    </row>
    <row r="300" spans="1:19" s="56" customFormat="1" ht="18" customHeight="1">
      <c r="A300" s="53"/>
      <c r="B300" s="54"/>
      <c r="C300" s="70"/>
      <c r="D300" s="53"/>
      <c r="E300" s="54"/>
      <c r="F300" s="55"/>
      <c r="G300" s="41" t="s">
        <v>417</v>
      </c>
      <c r="H300" s="184">
        <v>1806290</v>
      </c>
      <c r="I300" s="184" t="s">
        <v>137</v>
      </c>
      <c r="J300" s="186" t="s">
        <v>5</v>
      </c>
      <c r="K300" s="184">
        <v>12</v>
      </c>
      <c r="L300" s="195" t="s">
        <v>40</v>
      </c>
      <c r="M300" s="186"/>
      <c r="N300" s="184"/>
      <c r="O300" s="195"/>
      <c r="P300" s="184"/>
      <c r="Q300" s="195"/>
      <c r="R300" s="184" t="s">
        <v>32</v>
      </c>
      <c r="S300" s="183">
        <f>H300*K300</f>
        <v>21675480</v>
      </c>
    </row>
    <row r="301" spans="1:19" s="56" customFormat="1" ht="18" customHeight="1">
      <c r="A301" s="53"/>
      <c r="B301" s="54"/>
      <c r="C301" s="70"/>
      <c r="D301" s="53"/>
      <c r="E301" s="54"/>
      <c r="F301" s="55"/>
      <c r="G301" s="41" t="s">
        <v>151</v>
      </c>
      <c r="H301" s="184">
        <v>10000</v>
      </c>
      <c r="I301" s="184" t="s">
        <v>137</v>
      </c>
      <c r="J301" s="186" t="s">
        <v>5</v>
      </c>
      <c r="K301" s="184">
        <v>175</v>
      </c>
      <c r="L301" s="195" t="s">
        <v>111</v>
      </c>
      <c r="M301" s="186" t="s">
        <v>5</v>
      </c>
      <c r="N301" s="184">
        <v>12</v>
      </c>
      <c r="O301" s="195" t="s">
        <v>152</v>
      </c>
      <c r="P301" s="184"/>
      <c r="Q301" s="195"/>
      <c r="R301" s="184" t="s">
        <v>112</v>
      </c>
      <c r="S301" s="189">
        <f>H301*K301*N301-40000</f>
        <v>20960000</v>
      </c>
    </row>
    <row r="302" spans="1:19" s="56" customFormat="1" ht="18" customHeight="1">
      <c r="A302" s="53"/>
      <c r="B302" s="54"/>
      <c r="C302" s="70"/>
      <c r="D302" s="53"/>
      <c r="E302" s="54"/>
      <c r="F302" s="55"/>
      <c r="G302" s="41" t="s">
        <v>265</v>
      </c>
      <c r="H302" s="184">
        <v>3500</v>
      </c>
      <c r="I302" s="184" t="s">
        <v>137</v>
      </c>
      <c r="J302" s="186" t="s">
        <v>5</v>
      </c>
      <c r="K302" s="184">
        <v>175</v>
      </c>
      <c r="L302" s="195" t="s">
        <v>41</v>
      </c>
      <c r="M302" s="186" t="s">
        <v>5</v>
      </c>
      <c r="N302" s="184">
        <v>10</v>
      </c>
      <c r="O302" s="195" t="s">
        <v>40</v>
      </c>
      <c r="P302" s="184"/>
      <c r="Q302" s="195"/>
      <c r="R302" s="184" t="s">
        <v>112</v>
      </c>
      <c r="S302" s="189">
        <v>6236000</v>
      </c>
    </row>
    <row r="303" spans="1:19" s="56" customFormat="1" ht="18" customHeight="1" hidden="1">
      <c r="A303" s="53"/>
      <c r="B303" s="54"/>
      <c r="C303" s="70"/>
      <c r="D303" s="53"/>
      <c r="E303" s="54"/>
      <c r="F303" s="55"/>
      <c r="G303" s="201"/>
      <c r="H303" s="184"/>
      <c r="I303" s="184"/>
      <c r="J303" s="186"/>
      <c r="K303" s="184"/>
      <c r="L303" s="195"/>
      <c r="M303" s="186"/>
      <c r="N303" s="184"/>
      <c r="O303" s="195"/>
      <c r="P303" s="184"/>
      <c r="Q303" s="195"/>
      <c r="R303" s="184"/>
      <c r="S303" s="183"/>
    </row>
    <row r="304" spans="1:19" s="56" customFormat="1" ht="18" customHeight="1" hidden="1">
      <c r="A304" s="53"/>
      <c r="B304" s="54"/>
      <c r="C304" s="70"/>
      <c r="D304" s="53"/>
      <c r="E304" s="54"/>
      <c r="F304" s="55"/>
      <c r="G304" s="41" t="s">
        <v>139</v>
      </c>
      <c r="H304" s="194" t="e">
        <f>S304/SUM('[1]세입'!$D$37*1000)</f>
        <v>#REF!</v>
      </c>
      <c r="I304" s="184"/>
      <c r="J304" s="184"/>
      <c r="K304" s="184"/>
      <c r="L304" s="195"/>
      <c r="M304" s="184"/>
      <c r="N304" s="184"/>
      <c r="O304" s="195"/>
      <c r="P304" s="184"/>
      <c r="Q304" s="195"/>
      <c r="R304" s="184"/>
      <c r="S304" s="60">
        <f>SUM(S305)</f>
        <v>0</v>
      </c>
    </row>
    <row r="305" spans="1:19" s="56" customFormat="1" ht="18" customHeight="1" hidden="1">
      <c r="A305" s="53"/>
      <c r="B305" s="54"/>
      <c r="C305" s="70"/>
      <c r="D305" s="53"/>
      <c r="E305" s="54"/>
      <c r="F305" s="55"/>
      <c r="G305" s="201" t="s">
        <v>140</v>
      </c>
      <c r="H305" s="184"/>
      <c r="I305" s="184" t="s">
        <v>137</v>
      </c>
      <c r="J305" s="186" t="s">
        <v>5</v>
      </c>
      <c r="K305" s="184"/>
      <c r="L305" s="184" t="s">
        <v>141</v>
      </c>
      <c r="M305" s="184"/>
      <c r="N305" s="184"/>
      <c r="O305" s="184"/>
      <c r="P305" s="184"/>
      <c r="Q305" s="184"/>
      <c r="R305" s="184" t="s">
        <v>112</v>
      </c>
      <c r="S305" s="183">
        <f>ROUNDUP(H305*K305,-3)</f>
        <v>0</v>
      </c>
    </row>
    <row r="306" spans="1:19" s="56" customFormat="1" ht="18" customHeight="1" hidden="1">
      <c r="A306" s="53"/>
      <c r="B306" s="54"/>
      <c r="C306" s="70"/>
      <c r="D306" s="53"/>
      <c r="E306" s="54"/>
      <c r="F306" s="55"/>
      <c r="G306" s="201"/>
      <c r="H306" s="184"/>
      <c r="I306" s="184"/>
      <c r="J306" s="186"/>
      <c r="K306" s="184"/>
      <c r="L306" s="184"/>
      <c r="M306" s="184"/>
      <c r="N306" s="184"/>
      <c r="O306" s="184"/>
      <c r="P306" s="184"/>
      <c r="Q306" s="184"/>
      <c r="R306" s="184"/>
      <c r="S306" s="183"/>
    </row>
    <row r="307" spans="1:19" s="56" customFormat="1" ht="18" customHeight="1" hidden="1">
      <c r="A307" s="53"/>
      <c r="B307" s="54"/>
      <c r="C307" s="70"/>
      <c r="D307" s="53"/>
      <c r="E307" s="54"/>
      <c r="F307" s="55"/>
      <c r="G307" s="41" t="s">
        <v>142</v>
      </c>
      <c r="H307" s="194" t="e">
        <f>S307/SUM('[1]세입'!$D$37*1000)</f>
        <v>#REF!</v>
      </c>
      <c r="I307" s="184"/>
      <c r="J307" s="184"/>
      <c r="K307" s="184"/>
      <c r="L307" s="195"/>
      <c r="M307" s="184"/>
      <c r="N307" s="184"/>
      <c r="O307" s="195"/>
      <c r="P307" s="184"/>
      <c r="Q307" s="195"/>
      <c r="R307" s="184"/>
      <c r="S307" s="60">
        <f>SUM(S308:S314)</f>
        <v>0</v>
      </c>
    </row>
    <row r="308" spans="1:19" s="56" customFormat="1" ht="18" customHeight="1" hidden="1">
      <c r="A308" s="53"/>
      <c r="B308" s="54"/>
      <c r="C308" s="70"/>
      <c r="D308" s="53"/>
      <c r="E308" s="54"/>
      <c r="F308" s="55"/>
      <c r="G308" s="201" t="s">
        <v>143</v>
      </c>
      <c r="H308" s="184"/>
      <c r="I308" s="184" t="s">
        <v>137</v>
      </c>
      <c r="J308" s="186" t="s">
        <v>5</v>
      </c>
      <c r="K308" s="184">
        <v>12</v>
      </c>
      <c r="L308" s="184" t="s">
        <v>144</v>
      </c>
      <c r="M308" s="184"/>
      <c r="N308" s="198"/>
      <c r="O308" s="184"/>
      <c r="P308" s="198"/>
      <c r="Q308" s="184"/>
      <c r="R308" s="184" t="s">
        <v>112</v>
      </c>
      <c r="S308" s="183">
        <f aca="true" t="shared" si="6" ref="S308:S314">H308*K308</f>
        <v>0</v>
      </c>
    </row>
    <row r="309" spans="1:19" s="56" customFormat="1" ht="18" customHeight="1" hidden="1">
      <c r="A309" s="53"/>
      <c r="B309" s="54"/>
      <c r="C309" s="70"/>
      <c r="D309" s="53"/>
      <c r="E309" s="54"/>
      <c r="F309" s="55"/>
      <c r="G309" s="201" t="s">
        <v>145</v>
      </c>
      <c r="H309" s="184"/>
      <c r="I309" s="184" t="s">
        <v>137</v>
      </c>
      <c r="J309" s="186" t="s">
        <v>5</v>
      </c>
      <c r="K309" s="184">
        <v>5</v>
      </c>
      <c r="L309" s="184" t="s">
        <v>138</v>
      </c>
      <c r="M309" s="184"/>
      <c r="N309" s="184"/>
      <c r="O309" s="184"/>
      <c r="P309" s="184"/>
      <c r="Q309" s="184"/>
      <c r="R309" s="184" t="s">
        <v>112</v>
      </c>
      <c r="S309" s="183">
        <f t="shared" si="6"/>
        <v>0</v>
      </c>
    </row>
    <row r="310" spans="1:19" s="56" customFormat="1" ht="18" customHeight="1" hidden="1">
      <c r="A310" s="53"/>
      <c r="B310" s="54"/>
      <c r="C310" s="70"/>
      <c r="D310" s="53"/>
      <c r="E310" s="54"/>
      <c r="F310" s="55"/>
      <c r="G310" s="201" t="s">
        <v>146</v>
      </c>
      <c r="H310" s="184"/>
      <c r="I310" s="184" t="s">
        <v>137</v>
      </c>
      <c r="J310" s="186" t="s">
        <v>5</v>
      </c>
      <c r="K310" s="184">
        <v>2</v>
      </c>
      <c r="L310" s="184" t="s">
        <v>138</v>
      </c>
      <c r="M310" s="184"/>
      <c r="N310" s="184"/>
      <c r="O310" s="184"/>
      <c r="P310" s="184"/>
      <c r="Q310" s="184"/>
      <c r="R310" s="184" t="s">
        <v>112</v>
      </c>
      <c r="S310" s="183">
        <f t="shared" si="6"/>
        <v>0</v>
      </c>
    </row>
    <row r="311" spans="1:19" s="56" customFormat="1" ht="18" customHeight="1" hidden="1">
      <c r="A311" s="53"/>
      <c r="B311" s="54"/>
      <c r="C311" s="70"/>
      <c r="D311" s="53"/>
      <c r="E311" s="54"/>
      <c r="F311" s="55"/>
      <c r="G311" s="201" t="s">
        <v>147</v>
      </c>
      <c r="H311" s="184"/>
      <c r="I311" s="184" t="s">
        <v>137</v>
      </c>
      <c r="J311" s="186" t="s">
        <v>5</v>
      </c>
      <c r="K311" s="184">
        <v>5</v>
      </c>
      <c r="L311" s="184" t="s">
        <v>138</v>
      </c>
      <c r="M311" s="186" t="s">
        <v>114</v>
      </c>
      <c r="N311" s="184" t="s">
        <v>114</v>
      </c>
      <c r="O311" s="184" t="s">
        <v>114</v>
      </c>
      <c r="P311" s="184" t="s">
        <v>114</v>
      </c>
      <c r="Q311" s="184" t="s">
        <v>114</v>
      </c>
      <c r="R311" s="184" t="s">
        <v>112</v>
      </c>
      <c r="S311" s="183">
        <f t="shared" si="6"/>
        <v>0</v>
      </c>
    </row>
    <row r="312" spans="1:19" s="56" customFormat="1" ht="18" customHeight="1" hidden="1">
      <c r="A312" s="53"/>
      <c r="B312" s="54"/>
      <c r="C312" s="70"/>
      <c r="D312" s="53"/>
      <c r="E312" s="54"/>
      <c r="F312" s="55"/>
      <c r="G312" s="201" t="s">
        <v>148</v>
      </c>
      <c r="H312" s="184"/>
      <c r="I312" s="184" t="s">
        <v>137</v>
      </c>
      <c r="J312" s="186" t="s">
        <v>5</v>
      </c>
      <c r="K312" s="184">
        <v>4</v>
      </c>
      <c r="L312" s="184" t="s">
        <v>138</v>
      </c>
      <c r="M312" s="184"/>
      <c r="N312" s="198"/>
      <c r="O312" s="184"/>
      <c r="P312" s="198"/>
      <c r="Q312" s="184"/>
      <c r="R312" s="184" t="s">
        <v>112</v>
      </c>
      <c r="S312" s="183">
        <f t="shared" si="6"/>
        <v>0</v>
      </c>
    </row>
    <row r="313" spans="1:19" s="56" customFormat="1" ht="18" customHeight="1" hidden="1">
      <c r="A313" s="53"/>
      <c r="B313" s="54"/>
      <c r="C313" s="70"/>
      <c r="D313" s="53"/>
      <c r="E313" s="54"/>
      <c r="F313" s="55"/>
      <c r="G313" s="201" t="s">
        <v>149</v>
      </c>
      <c r="H313" s="184"/>
      <c r="I313" s="184" t="s">
        <v>137</v>
      </c>
      <c r="J313" s="186" t="s">
        <v>5</v>
      </c>
      <c r="K313" s="203">
        <v>1</v>
      </c>
      <c r="L313" s="184" t="s">
        <v>138</v>
      </c>
      <c r="M313" s="184"/>
      <c r="N313" s="184"/>
      <c r="O313" s="184"/>
      <c r="P313" s="184"/>
      <c r="Q313" s="184"/>
      <c r="R313" s="184" t="s">
        <v>112</v>
      </c>
      <c r="S313" s="183">
        <f t="shared" si="6"/>
        <v>0</v>
      </c>
    </row>
    <row r="314" spans="1:19" s="56" customFormat="1" ht="18" customHeight="1" hidden="1">
      <c r="A314" s="53"/>
      <c r="B314" s="54"/>
      <c r="C314" s="70"/>
      <c r="D314" s="53"/>
      <c r="E314" s="54"/>
      <c r="F314" s="55"/>
      <c r="G314" s="201" t="s">
        <v>150</v>
      </c>
      <c r="H314" s="184"/>
      <c r="I314" s="184" t="s">
        <v>137</v>
      </c>
      <c r="J314" s="186" t="s">
        <v>5</v>
      </c>
      <c r="K314" s="203">
        <v>1</v>
      </c>
      <c r="L314" s="184" t="s">
        <v>138</v>
      </c>
      <c r="M314" s="184"/>
      <c r="N314" s="184"/>
      <c r="O314" s="184"/>
      <c r="P314" s="184"/>
      <c r="Q314" s="184"/>
      <c r="R314" s="184" t="s">
        <v>112</v>
      </c>
      <c r="S314" s="183">
        <f t="shared" si="6"/>
        <v>0</v>
      </c>
    </row>
    <row r="315" spans="1:20" s="56" customFormat="1" ht="18" customHeight="1">
      <c r="A315" s="53"/>
      <c r="B315" s="54"/>
      <c r="C315" s="70"/>
      <c r="D315" s="53"/>
      <c r="E315" s="54"/>
      <c r="F315" s="55"/>
      <c r="G315" s="190"/>
      <c r="H315" s="191" t="s">
        <v>113</v>
      </c>
      <c r="I315" s="191"/>
      <c r="J315" s="191"/>
      <c r="K315" s="204"/>
      <c r="L315" s="191"/>
      <c r="M315" s="191"/>
      <c r="N315" s="191"/>
      <c r="O315" s="191"/>
      <c r="P315" s="191"/>
      <c r="Q315" s="191"/>
      <c r="R315" s="191"/>
      <c r="S315" s="193">
        <f>SUM(S297:S302)</f>
        <v>144764320</v>
      </c>
      <c r="T315" s="205"/>
    </row>
    <row r="316" spans="1:19" ht="18" customHeight="1">
      <c r="A316" s="340" t="s">
        <v>37</v>
      </c>
      <c r="B316" s="341"/>
      <c r="C316" s="402"/>
      <c r="D316" s="166">
        <f>D5+D137+D239+D248+D252</f>
        <v>1803241.5</v>
      </c>
      <c r="E316" s="166">
        <f>E5+E137+E239+E248+E252</f>
        <v>1780490</v>
      </c>
      <c r="F316" s="166">
        <f>F5+F137+F239+F248+F252</f>
        <v>22381.5</v>
      </c>
      <c r="G316" s="167"/>
      <c r="H316" s="164"/>
      <c r="I316" s="164"/>
      <c r="J316" s="164"/>
      <c r="K316" s="164"/>
      <c r="L316" s="168"/>
      <c r="M316" s="164"/>
      <c r="N316" s="164"/>
      <c r="O316" s="168"/>
      <c r="P316" s="164"/>
      <c r="Q316" s="168"/>
      <c r="R316" s="164"/>
      <c r="S316" s="165"/>
    </row>
    <row r="317" spans="7:19" ht="18" customHeight="1">
      <c r="G317" s="107"/>
      <c r="H317" s="108"/>
      <c r="I317" s="108"/>
      <c r="J317" s="108"/>
      <c r="K317" s="108"/>
      <c r="L317" s="109"/>
      <c r="M317" s="108"/>
      <c r="N317" s="108"/>
      <c r="O317" s="109"/>
      <c r="P317" s="108"/>
      <c r="Q317" s="109"/>
      <c r="R317" s="108"/>
      <c r="S317" s="107"/>
    </row>
    <row r="318" spans="7:19" ht="18" customHeight="1">
      <c r="G318" s="107"/>
      <c r="H318" s="108"/>
      <c r="I318" s="108"/>
      <c r="J318" s="108"/>
      <c r="K318" s="108"/>
      <c r="L318" s="109"/>
      <c r="M318" s="108"/>
      <c r="N318" s="108"/>
      <c r="O318" s="109"/>
      <c r="P318" s="108"/>
      <c r="Q318" s="109"/>
      <c r="R318" s="108"/>
      <c r="S318" s="107"/>
    </row>
    <row r="319" spans="7:19" ht="18" customHeight="1">
      <c r="G319" s="107"/>
      <c r="H319" s="108"/>
      <c r="I319" s="108"/>
      <c r="J319" s="108"/>
      <c r="K319" s="108"/>
      <c r="L319" s="109"/>
      <c r="M319" s="108"/>
      <c r="N319" s="108"/>
      <c r="O319" s="109"/>
      <c r="P319" s="108"/>
      <c r="Q319" s="109"/>
      <c r="R319" s="108"/>
      <c r="S319" s="107"/>
    </row>
    <row r="320" spans="7:19" ht="18" customHeight="1">
      <c r="G320" s="107"/>
      <c r="H320" s="108"/>
      <c r="I320" s="108"/>
      <c r="J320" s="108"/>
      <c r="K320" s="108"/>
      <c r="L320" s="109"/>
      <c r="M320" s="108"/>
      <c r="N320" s="108"/>
      <c r="O320" s="109"/>
      <c r="P320" s="108"/>
      <c r="Q320" s="109"/>
      <c r="R320" s="108"/>
      <c r="S320" s="107"/>
    </row>
    <row r="321" spans="7:19" ht="18" customHeight="1">
      <c r="G321" s="107"/>
      <c r="H321" s="108"/>
      <c r="I321" s="108"/>
      <c r="J321" s="108"/>
      <c r="K321" s="108"/>
      <c r="L321" s="109"/>
      <c r="M321" s="108"/>
      <c r="N321" s="108"/>
      <c r="O321" s="109"/>
      <c r="P321" s="108"/>
      <c r="Q321" s="109"/>
      <c r="R321" s="108"/>
      <c r="S321" s="107"/>
    </row>
    <row r="322" spans="7:19" ht="18" customHeight="1">
      <c r="G322" s="107"/>
      <c r="H322" s="108"/>
      <c r="I322" s="108"/>
      <c r="J322" s="108"/>
      <c r="K322" s="108"/>
      <c r="L322" s="109"/>
      <c r="M322" s="108"/>
      <c r="N322" s="108"/>
      <c r="O322" s="109"/>
      <c r="P322" s="108"/>
      <c r="Q322" s="109"/>
      <c r="R322" s="108"/>
      <c r="S322" s="107"/>
    </row>
    <row r="323" spans="7:19" ht="18" customHeight="1">
      <c r="G323" s="107"/>
      <c r="H323" s="108"/>
      <c r="I323" s="108"/>
      <c r="J323" s="108"/>
      <c r="K323" s="108"/>
      <c r="L323" s="109"/>
      <c r="M323" s="108"/>
      <c r="N323" s="108"/>
      <c r="O323" s="109"/>
      <c r="P323" s="108"/>
      <c r="Q323" s="109"/>
      <c r="R323" s="108"/>
      <c r="S323" s="107"/>
    </row>
    <row r="324" spans="7:19" ht="18" customHeight="1">
      <c r="G324" s="107"/>
      <c r="H324" s="108"/>
      <c r="I324" s="108"/>
      <c r="J324" s="108"/>
      <c r="K324" s="108"/>
      <c r="L324" s="109"/>
      <c r="M324" s="108"/>
      <c r="N324" s="108"/>
      <c r="O324" s="109"/>
      <c r="P324" s="108"/>
      <c r="Q324" s="109"/>
      <c r="R324" s="108"/>
      <c r="S324" s="107"/>
    </row>
    <row r="325" spans="7:19" ht="18" customHeight="1">
      <c r="G325" s="107"/>
      <c r="H325" s="108"/>
      <c r="I325" s="108"/>
      <c r="J325" s="108"/>
      <c r="K325" s="108"/>
      <c r="L325" s="109"/>
      <c r="M325" s="108"/>
      <c r="N325" s="108"/>
      <c r="O325" s="109"/>
      <c r="P325" s="108"/>
      <c r="Q325" s="109"/>
      <c r="R325" s="108"/>
      <c r="S325" s="107"/>
    </row>
    <row r="326" spans="7:19" ht="18" customHeight="1">
      <c r="G326" s="107"/>
      <c r="H326" s="108"/>
      <c r="I326" s="108"/>
      <c r="J326" s="108"/>
      <c r="K326" s="108"/>
      <c r="L326" s="109"/>
      <c r="M326" s="108"/>
      <c r="N326" s="108"/>
      <c r="O326" s="109"/>
      <c r="P326" s="108"/>
      <c r="Q326" s="109"/>
      <c r="R326" s="108"/>
      <c r="S326" s="107"/>
    </row>
    <row r="327" spans="7:19" ht="18" customHeight="1">
      <c r="G327" s="107"/>
      <c r="H327" s="108"/>
      <c r="I327" s="108"/>
      <c r="J327" s="108"/>
      <c r="K327" s="108"/>
      <c r="L327" s="109"/>
      <c r="M327" s="108"/>
      <c r="N327" s="108"/>
      <c r="O327" s="109"/>
      <c r="P327" s="108"/>
      <c r="Q327" s="109"/>
      <c r="R327" s="108"/>
      <c r="S327" s="107"/>
    </row>
    <row r="328" spans="7:19" ht="18" customHeight="1">
      <c r="G328" s="107"/>
      <c r="H328" s="108"/>
      <c r="I328" s="108"/>
      <c r="J328" s="108"/>
      <c r="K328" s="108"/>
      <c r="L328" s="109"/>
      <c r="M328" s="108"/>
      <c r="N328" s="108"/>
      <c r="O328" s="109"/>
      <c r="P328" s="108"/>
      <c r="Q328" s="109"/>
      <c r="R328" s="108"/>
      <c r="S328" s="107"/>
    </row>
    <row r="329" spans="7:19" ht="18" customHeight="1">
      <c r="G329" s="107"/>
      <c r="H329" s="108"/>
      <c r="I329" s="108"/>
      <c r="J329" s="108"/>
      <c r="K329" s="108"/>
      <c r="L329" s="109"/>
      <c r="M329" s="108"/>
      <c r="N329" s="108"/>
      <c r="O329" s="109"/>
      <c r="P329" s="108"/>
      <c r="Q329" s="109"/>
      <c r="R329" s="108"/>
      <c r="S329" s="107"/>
    </row>
    <row r="330" spans="7:19" ht="18" customHeight="1">
      <c r="G330" s="107"/>
      <c r="H330" s="108"/>
      <c r="I330" s="108"/>
      <c r="J330" s="108"/>
      <c r="K330" s="108"/>
      <c r="L330" s="109"/>
      <c r="M330" s="108"/>
      <c r="N330" s="108"/>
      <c r="O330" s="109"/>
      <c r="P330" s="108"/>
      <c r="Q330" s="109"/>
      <c r="R330" s="108"/>
      <c r="S330" s="107"/>
    </row>
  </sheetData>
  <sheetProtection/>
  <mergeCells count="52">
    <mergeCell ref="G43:R43"/>
    <mergeCell ref="A5:C5"/>
    <mergeCell ref="B6:C6"/>
    <mergeCell ref="B18:C18"/>
    <mergeCell ref="G63:R63"/>
    <mergeCell ref="E3:E4"/>
    <mergeCell ref="F3:F4"/>
    <mergeCell ref="G54:R54"/>
    <mergeCell ref="G17:R17"/>
    <mergeCell ref="A316:C316"/>
    <mergeCell ref="B249:C249"/>
    <mergeCell ref="A248:C248"/>
    <mergeCell ref="A239:C239"/>
    <mergeCell ref="B240:C240"/>
    <mergeCell ref="G221:R221"/>
    <mergeCell ref="G227:R227"/>
    <mergeCell ref="A252:C252"/>
    <mergeCell ref="G235:R235"/>
    <mergeCell ref="G238:R238"/>
    <mergeCell ref="B253:C253"/>
    <mergeCell ref="B55:C55"/>
    <mergeCell ref="G3:S4"/>
    <mergeCell ref="G5:S5"/>
    <mergeCell ref="G6:S6"/>
    <mergeCell ref="G35:R35"/>
    <mergeCell ref="G14:R14"/>
    <mergeCell ref="G10:R10"/>
    <mergeCell ref="D3:D4"/>
    <mergeCell ref="A3:C3"/>
    <mergeCell ref="G133:R133"/>
    <mergeCell ref="G103:R103"/>
    <mergeCell ref="G96:R96"/>
    <mergeCell ref="G116:R116"/>
    <mergeCell ref="G121:R121"/>
    <mergeCell ref="G214:R214"/>
    <mergeCell ref="G136:R136"/>
    <mergeCell ref="G112:R112"/>
    <mergeCell ref="G68:R68"/>
    <mergeCell ref="B64:C64"/>
    <mergeCell ref="G74:R74"/>
    <mergeCell ref="G81:R81"/>
    <mergeCell ref="G78:R78"/>
    <mergeCell ref="G84:R84"/>
    <mergeCell ref="G108:R108"/>
    <mergeCell ref="G125:R125"/>
    <mergeCell ref="B245:C245"/>
    <mergeCell ref="G232:R232"/>
    <mergeCell ref="B97:C97"/>
    <mergeCell ref="G210:R210"/>
    <mergeCell ref="B138:C138"/>
    <mergeCell ref="A137:C137"/>
    <mergeCell ref="B215:C215"/>
  </mergeCells>
  <printOptions horizontalCentered="1"/>
  <pageMargins left="0.3937007874015748" right="0.3937007874015748" top="0.6299212598425197" bottom="0.4330708661417323" header="0.5118110236220472" footer="0.3937007874015748"/>
  <pageSetup fitToHeight="0" fitToWidth="1" horizontalDpi="600" verticalDpi="600" orientation="portrait" paperSize="9" scale="64" r:id="rId3"/>
  <headerFooter alignWithMargins="0">
    <oddFooter>&amp;L&amp;8&amp;F/&amp;A&amp;C&amp;8- &amp;P -</oddFooter>
  </headerFooter>
  <rowBreaks count="4" manualBreakCount="4">
    <brk id="63" max="18" man="1"/>
    <brk id="116" max="18" man="1"/>
    <brk id="178" max="18" man="1"/>
    <brk id="232" max="1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zoomScalePageLayoutView="0" workbookViewId="0" topLeftCell="A1">
      <selection activeCell="C21" sqref="C21"/>
    </sheetView>
  </sheetViews>
  <sheetFormatPr defaultColWidth="10.28125" defaultRowHeight="12"/>
  <cols>
    <col min="1" max="1" width="6.8515625" style="2" customWidth="1"/>
    <col min="2" max="2" width="22.421875" style="2" bestFit="1" customWidth="1"/>
    <col min="3" max="3" width="14.28125" style="2" customWidth="1"/>
    <col min="4" max="4" width="7.7109375" style="2" bestFit="1" customWidth="1"/>
    <col min="5" max="5" width="14.421875" style="2" customWidth="1"/>
    <col min="6" max="6" width="7.7109375" style="2" bestFit="1" customWidth="1"/>
    <col min="7" max="7" width="13.140625" style="2" customWidth="1"/>
    <col min="8" max="8" width="10.421875" style="2" customWidth="1"/>
    <col min="9" max="9" width="10.28125" style="27" customWidth="1"/>
    <col min="10" max="16384" width="10.28125" style="2" customWidth="1"/>
  </cols>
  <sheetData>
    <row r="1" spans="1:9" s="245" customFormat="1" ht="33" customHeight="1" thickBot="1">
      <c r="A1" s="414" t="s">
        <v>357</v>
      </c>
      <c r="B1" s="415"/>
      <c r="C1" s="415"/>
      <c r="D1" s="415"/>
      <c r="E1" s="415"/>
      <c r="F1" s="415"/>
      <c r="G1" s="415"/>
      <c r="H1" s="416"/>
      <c r="I1" s="277"/>
    </row>
    <row r="2" spans="1:9" s="259" customFormat="1" ht="18.75" customHeight="1">
      <c r="A2" s="259" t="s">
        <v>114</v>
      </c>
      <c r="H2" s="278" t="s">
        <v>362</v>
      </c>
      <c r="I2" s="279"/>
    </row>
    <row r="3" spans="1:9" s="259" customFormat="1" ht="25.5" customHeight="1">
      <c r="A3" s="417" t="s">
        <v>24</v>
      </c>
      <c r="B3" s="417"/>
      <c r="C3" s="417" t="s">
        <v>363</v>
      </c>
      <c r="D3" s="417"/>
      <c r="E3" s="417" t="s">
        <v>364</v>
      </c>
      <c r="F3" s="417"/>
      <c r="G3" s="417" t="s">
        <v>365</v>
      </c>
      <c r="H3" s="417" t="s">
        <v>25</v>
      </c>
      <c r="I3" s="279"/>
    </row>
    <row r="4" spans="1:9" s="259" customFormat="1" ht="27" customHeight="1">
      <c r="A4" s="280" t="s">
        <v>26</v>
      </c>
      <c r="B4" s="280" t="s">
        <v>27</v>
      </c>
      <c r="C4" s="280" t="s">
        <v>358</v>
      </c>
      <c r="D4" s="280" t="s">
        <v>28</v>
      </c>
      <c r="E4" s="280" t="s">
        <v>29</v>
      </c>
      <c r="F4" s="280" t="s">
        <v>28</v>
      </c>
      <c r="G4" s="417"/>
      <c r="H4" s="417"/>
      <c r="I4" s="279"/>
    </row>
    <row r="5" spans="1:9" s="259" customFormat="1" ht="27.75" customHeight="1">
      <c r="A5" s="410" t="s">
        <v>30</v>
      </c>
      <c r="B5" s="411"/>
      <c r="C5" s="283">
        <f>SUM(C6:C10)</f>
        <v>682995</v>
      </c>
      <c r="D5" s="284">
        <f aca="true" t="shared" si="0" ref="D5:D25">INT(C5/C$25*1000+0.5)/10</f>
        <v>37.9</v>
      </c>
      <c r="E5" s="283">
        <f>SUM(E6:E10)</f>
        <v>659803</v>
      </c>
      <c r="F5" s="284">
        <f aca="true" t="shared" si="1" ref="F5:F25">IF(E5=0,0,INT(E5/E$25*1000+0.5)/10)</f>
        <v>37.1</v>
      </c>
      <c r="G5" s="283">
        <f>SUM(G6:G10)</f>
        <v>23192</v>
      </c>
      <c r="H5" s="283"/>
      <c r="I5" s="279"/>
    </row>
    <row r="6" spans="1:9" s="259" customFormat="1" ht="27.75" customHeight="1">
      <c r="A6" s="412"/>
      <c r="B6" s="281" t="s">
        <v>359</v>
      </c>
      <c r="C6" s="285">
        <f>+세출!D6</f>
        <v>255341</v>
      </c>
      <c r="D6" s="284">
        <f t="shared" si="0"/>
        <v>14.2</v>
      </c>
      <c r="E6" s="285">
        <f>+세출!E6</f>
        <v>218368</v>
      </c>
      <c r="F6" s="284">
        <f t="shared" si="1"/>
        <v>12.3</v>
      </c>
      <c r="G6" s="283">
        <f>C6-E6</f>
        <v>36973</v>
      </c>
      <c r="H6" s="283"/>
      <c r="I6" s="279"/>
    </row>
    <row r="7" spans="1:9" s="259" customFormat="1" ht="27.75" customHeight="1">
      <c r="A7" s="413"/>
      <c r="B7" s="281" t="s">
        <v>360</v>
      </c>
      <c r="C7" s="285">
        <f>+세출!D18</f>
        <v>26453</v>
      </c>
      <c r="D7" s="284">
        <f t="shared" si="0"/>
        <v>1.5</v>
      </c>
      <c r="E7" s="285">
        <f>+세출!E18</f>
        <v>20589</v>
      </c>
      <c r="F7" s="284">
        <f t="shared" si="1"/>
        <v>1.2</v>
      </c>
      <c r="G7" s="283">
        <f>C7-E7</f>
        <v>5864</v>
      </c>
      <c r="H7" s="283"/>
      <c r="I7" s="279"/>
    </row>
    <row r="8" spans="1:9" s="259" customFormat="1" ht="27.75" customHeight="1">
      <c r="A8" s="413"/>
      <c r="B8" s="281" t="s">
        <v>361</v>
      </c>
      <c r="C8" s="285">
        <f>+세출!D55</f>
        <v>167568</v>
      </c>
      <c r="D8" s="284">
        <f t="shared" si="0"/>
        <v>9.3</v>
      </c>
      <c r="E8" s="285">
        <f>+세출!E55</f>
        <v>169679</v>
      </c>
      <c r="F8" s="284">
        <f t="shared" si="1"/>
        <v>9.5</v>
      </c>
      <c r="G8" s="283">
        <f>C8-E8</f>
        <v>-2111</v>
      </c>
      <c r="H8" s="283"/>
      <c r="I8" s="279"/>
    </row>
    <row r="9" spans="1:9" s="259" customFormat="1" ht="27.75" customHeight="1">
      <c r="A9" s="413"/>
      <c r="B9" s="281" t="s">
        <v>366</v>
      </c>
      <c r="C9" s="285">
        <f>+세출!D64</f>
        <v>73255</v>
      </c>
      <c r="D9" s="284">
        <f t="shared" si="0"/>
        <v>4.1</v>
      </c>
      <c r="E9" s="285">
        <f>+세출!E64</f>
        <v>78818</v>
      </c>
      <c r="F9" s="284">
        <f t="shared" si="1"/>
        <v>4.4</v>
      </c>
      <c r="G9" s="283">
        <f>C9-E9</f>
        <v>-5563</v>
      </c>
      <c r="H9" s="283"/>
      <c r="I9" s="279"/>
    </row>
    <row r="10" spans="1:9" s="259" customFormat="1" ht="27.75" customHeight="1">
      <c r="A10" s="413"/>
      <c r="B10" s="281" t="s">
        <v>367</v>
      </c>
      <c r="C10" s="285">
        <f>세출!D97</f>
        <v>160378</v>
      </c>
      <c r="D10" s="284">
        <f t="shared" si="0"/>
        <v>8.9</v>
      </c>
      <c r="E10" s="285">
        <f>세출!E97</f>
        <v>172349</v>
      </c>
      <c r="F10" s="284">
        <f t="shared" si="1"/>
        <v>9.7</v>
      </c>
      <c r="G10" s="283">
        <f>C10-E10</f>
        <v>-11971</v>
      </c>
      <c r="H10" s="283"/>
      <c r="I10" s="279"/>
    </row>
    <row r="11" spans="1:9" s="259" customFormat="1" ht="27.75" customHeight="1">
      <c r="A11" s="410" t="s">
        <v>368</v>
      </c>
      <c r="B11" s="411"/>
      <c r="C11" s="283">
        <f>SUM(C12:C14)</f>
        <v>830741.5</v>
      </c>
      <c r="D11" s="284">
        <f t="shared" si="0"/>
        <v>46.1</v>
      </c>
      <c r="E11" s="283">
        <f>SUM(E12:E14)</f>
        <v>833896</v>
      </c>
      <c r="F11" s="284">
        <f t="shared" si="1"/>
        <v>46.8</v>
      </c>
      <c r="G11" s="283">
        <f>SUM(G12:G14)</f>
        <v>-3154.5</v>
      </c>
      <c r="H11" s="283"/>
      <c r="I11" s="279"/>
    </row>
    <row r="12" spans="1:9" s="259" customFormat="1" ht="27.75" customHeight="1">
      <c r="A12" s="412"/>
      <c r="B12" s="281" t="s">
        <v>369</v>
      </c>
      <c r="C12" s="283">
        <f>+세출!D139</f>
        <v>780287.5</v>
      </c>
      <c r="D12" s="284">
        <f t="shared" si="0"/>
        <v>43.3</v>
      </c>
      <c r="E12" s="283">
        <f>+세출!E139</f>
        <v>783386</v>
      </c>
      <c r="F12" s="284">
        <f t="shared" si="1"/>
        <v>44</v>
      </c>
      <c r="G12" s="283">
        <f>+C12-E12</f>
        <v>-3098.5</v>
      </c>
      <c r="H12" s="283"/>
      <c r="I12" s="279"/>
    </row>
    <row r="13" spans="1:9" s="259" customFormat="1" ht="27.75" customHeight="1">
      <c r="A13" s="413"/>
      <c r="B13" s="281" t="s">
        <v>370</v>
      </c>
      <c r="C13" s="283">
        <f>+세출!D211</f>
        <v>13676</v>
      </c>
      <c r="D13" s="284">
        <f t="shared" si="0"/>
        <v>0.8</v>
      </c>
      <c r="E13" s="283">
        <f>+세출!E211</f>
        <v>13700</v>
      </c>
      <c r="F13" s="284">
        <f t="shared" si="1"/>
        <v>0.8</v>
      </c>
      <c r="G13" s="283">
        <f>+C13-E13</f>
        <v>-24</v>
      </c>
      <c r="H13" s="283"/>
      <c r="I13" s="279"/>
    </row>
    <row r="14" spans="1:9" s="259" customFormat="1" ht="27.75" customHeight="1">
      <c r="A14" s="413"/>
      <c r="B14" s="281" t="s">
        <v>371</v>
      </c>
      <c r="C14" s="283">
        <f>+세출!D215</f>
        <v>36778</v>
      </c>
      <c r="D14" s="284">
        <f t="shared" si="0"/>
        <v>2</v>
      </c>
      <c r="E14" s="283">
        <f>+세출!E215</f>
        <v>36810</v>
      </c>
      <c r="F14" s="284">
        <f t="shared" si="1"/>
        <v>2.1</v>
      </c>
      <c r="G14" s="283">
        <f>+C14-E14</f>
        <v>-32</v>
      </c>
      <c r="H14" s="283"/>
      <c r="I14" s="279"/>
    </row>
    <row r="15" spans="1:9" s="259" customFormat="1" ht="27.75" customHeight="1">
      <c r="A15" s="410" t="s">
        <v>372</v>
      </c>
      <c r="B15" s="411"/>
      <c r="C15" s="283">
        <f>SUM(C16:C18)</f>
        <v>1469</v>
      </c>
      <c r="D15" s="284">
        <f t="shared" si="0"/>
        <v>0.1</v>
      </c>
      <c r="E15" s="283">
        <f>SUM(E16:E18)</f>
        <v>1454</v>
      </c>
      <c r="F15" s="284">
        <f t="shared" si="1"/>
        <v>0.1</v>
      </c>
      <c r="G15" s="283">
        <f>SUM(G16:G18)</f>
        <v>15</v>
      </c>
      <c r="H15" s="283"/>
      <c r="I15" s="279"/>
    </row>
    <row r="16" spans="1:9" s="259" customFormat="1" ht="27.75" customHeight="1">
      <c r="A16" s="412"/>
      <c r="B16" s="282" t="s">
        <v>373</v>
      </c>
      <c r="C16" s="283">
        <f>세출!D241</f>
        <v>500</v>
      </c>
      <c r="D16" s="284">
        <f t="shared" si="0"/>
        <v>0</v>
      </c>
      <c r="E16" s="283">
        <f>세출!E241</f>
        <v>500</v>
      </c>
      <c r="F16" s="284">
        <f t="shared" si="1"/>
        <v>0</v>
      </c>
      <c r="G16" s="283">
        <f>+C16-E16</f>
        <v>0</v>
      </c>
      <c r="H16" s="283"/>
      <c r="I16" s="279"/>
    </row>
    <row r="17" spans="1:9" s="259" customFormat="1" ht="27.75" customHeight="1">
      <c r="A17" s="413"/>
      <c r="B17" s="282" t="s">
        <v>374</v>
      </c>
      <c r="C17" s="283">
        <f>세출!D243</f>
        <v>249</v>
      </c>
      <c r="D17" s="284">
        <f t="shared" si="0"/>
        <v>0</v>
      </c>
      <c r="E17" s="283">
        <f>세출!E243</f>
        <v>234</v>
      </c>
      <c r="F17" s="284">
        <f t="shared" si="1"/>
        <v>0</v>
      </c>
      <c r="G17" s="283">
        <f>+C17-E17</f>
        <v>15</v>
      </c>
      <c r="H17" s="283"/>
      <c r="I17" s="279"/>
    </row>
    <row r="18" spans="1:9" s="259" customFormat="1" ht="27.75" customHeight="1">
      <c r="A18" s="413"/>
      <c r="B18" s="282" t="s">
        <v>375</v>
      </c>
      <c r="C18" s="283">
        <f>세출!D246</f>
        <v>720</v>
      </c>
      <c r="D18" s="284">
        <f t="shared" si="0"/>
        <v>0</v>
      </c>
      <c r="E18" s="283">
        <f>세출!E246</f>
        <v>720</v>
      </c>
      <c r="F18" s="284">
        <f t="shared" si="1"/>
        <v>0</v>
      </c>
      <c r="G18" s="283">
        <f>+C18-E18</f>
        <v>0</v>
      </c>
      <c r="H18" s="283"/>
      <c r="I18" s="279"/>
    </row>
    <row r="19" spans="1:9" s="259" customFormat="1" ht="27.75" customHeight="1">
      <c r="A19" s="410" t="s">
        <v>376</v>
      </c>
      <c r="B19" s="411"/>
      <c r="C19" s="283">
        <f>+세출!D250</f>
        <v>0</v>
      </c>
      <c r="D19" s="284">
        <f t="shared" si="0"/>
        <v>0</v>
      </c>
      <c r="E19" s="283">
        <f>+세출!E250</f>
        <v>1000</v>
      </c>
      <c r="F19" s="284">
        <f t="shared" si="1"/>
        <v>0.1</v>
      </c>
      <c r="G19" s="283">
        <f>+C19-E19</f>
        <v>-1000</v>
      </c>
      <c r="H19" s="283"/>
      <c r="I19" s="279"/>
    </row>
    <row r="20" spans="1:9" s="259" customFormat="1" ht="27.75" customHeight="1">
      <c r="A20" s="410" t="s">
        <v>377</v>
      </c>
      <c r="B20" s="411"/>
      <c r="C20" s="283">
        <f>SUM(C21:C24)</f>
        <v>288036</v>
      </c>
      <c r="D20" s="284">
        <f t="shared" si="0"/>
        <v>16</v>
      </c>
      <c r="E20" s="283">
        <f>SUM(E21:E24)</f>
        <v>284337</v>
      </c>
      <c r="F20" s="284">
        <f t="shared" si="1"/>
        <v>16</v>
      </c>
      <c r="G20" s="283">
        <f>SUM(G21:G24)</f>
        <v>3699</v>
      </c>
      <c r="H20" s="283"/>
      <c r="I20" s="279"/>
    </row>
    <row r="21" spans="1:9" s="259" customFormat="1" ht="27.75" customHeight="1">
      <c r="A21" s="412"/>
      <c r="B21" s="282" t="s">
        <v>478</v>
      </c>
      <c r="C21" s="283">
        <f>세출!D254</f>
        <v>76357</v>
      </c>
      <c r="D21" s="284">
        <f t="shared" si="0"/>
        <v>4.2</v>
      </c>
      <c r="E21" s="283">
        <f>세출!E254</f>
        <v>95700</v>
      </c>
      <c r="F21" s="284">
        <f t="shared" si="1"/>
        <v>5.4</v>
      </c>
      <c r="G21" s="283">
        <f>+C21-E21</f>
        <v>-19343</v>
      </c>
      <c r="H21" s="283"/>
      <c r="I21" s="279"/>
    </row>
    <row r="22" spans="1:9" s="259" customFormat="1" ht="27.75" customHeight="1">
      <c r="A22" s="413"/>
      <c r="B22" s="282" t="s">
        <v>479</v>
      </c>
      <c r="C22" s="283">
        <f>세출!D258</f>
        <v>23633</v>
      </c>
      <c r="D22" s="284">
        <f t="shared" si="0"/>
        <v>1.3</v>
      </c>
      <c r="E22" s="283">
        <f>세출!E258</f>
        <v>19836</v>
      </c>
      <c r="F22" s="284">
        <f t="shared" si="1"/>
        <v>1.1</v>
      </c>
      <c r="G22" s="283">
        <f>+C22-E22</f>
        <v>3797</v>
      </c>
      <c r="H22" s="283"/>
      <c r="I22" s="279"/>
    </row>
    <row r="23" spans="1:9" s="259" customFormat="1" ht="27.75" customHeight="1">
      <c r="A23" s="413"/>
      <c r="B23" s="282" t="s">
        <v>378</v>
      </c>
      <c r="C23" s="283">
        <f>세출!D261</f>
        <v>43281</v>
      </c>
      <c r="D23" s="284">
        <f t="shared" si="0"/>
        <v>2.4</v>
      </c>
      <c r="E23" s="283">
        <f>세출!E261</f>
        <v>43701</v>
      </c>
      <c r="F23" s="284">
        <f t="shared" si="1"/>
        <v>2.5</v>
      </c>
      <c r="G23" s="283">
        <f>+C23-E23</f>
        <v>-420</v>
      </c>
      <c r="H23" s="283"/>
      <c r="I23" s="279"/>
    </row>
    <row r="24" spans="1:9" s="259" customFormat="1" ht="27.75" customHeight="1">
      <c r="A24" s="413"/>
      <c r="B24" s="282" t="s">
        <v>379</v>
      </c>
      <c r="C24" s="283">
        <f>세출!D267</f>
        <v>144765</v>
      </c>
      <c r="D24" s="284">
        <f t="shared" si="0"/>
        <v>8</v>
      </c>
      <c r="E24" s="283">
        <f>세출!E267</f>
        <v>125100</v>
      </c>
      <c r="F24" s="284">
        <f t="shared" si="1"/>
        <v>7</v>
      </c>
      <c r="G24" s="283">
        <f>+C24-E24</f>
        <v>19665</v>
      </c>
      <c r="H24" s="283"/>
      <c r="I24" s="279"/>
    </row>
    <row r="25" spans="1:9" s="259" customFormat="1" ht="27.75" customHeight="1">
      <c r="A25" s="417" t="s">
        <v>31</v>
      </c>
      <c r="B25" s="417"/>
      <c r="C25" s="283">
        <f>SUM(C5,C11,C15,C19,C20)</f>
        <v>1803241.5</v>
      </c>
      <c r="D25" s="284">
        <f t="shared" si="0"/>
        <v>100</v>
      </c>
      <c r="E25" s="283">
        <f>SUM(E5,E11,E15,E19,E20)</f>
        <v>1780490</v>
      </c>
      <c r="F25" s="284">
        <f t="shared" si="1"/>
        <v>100</v>
      </c>
      <c r="G25" s="283">
        <f>SUM(G5,G11,G15,G19,G20)</f>
        <v>22751.5</v>
      </c>
      <c r="H25" s="283"/>
      <c r="I25" s="279"/>
    </row>
  </sheetData>
  <sheetProtection/>
  <mergeCells count="16">
    <mergeCell ref="A25:B25"/>
    <mergeCell ref="A3:B3"/>
    <mergeCell ref="H3:H4"/>
    <mergeCell ref="G3:G4"/>
    <mergeCell ref="C3:D3"/>
    <mergeCell ref="E3:F3"/>
    <mergeCell ref="A12:A14"/>
    <mergeCell ref="A15:B15"/>
    <mergeCell ref="A16:A18"/>
    <mergeCell ref="A19:B19"/>
    <mergeCell ref="A20:B20"/>
    <mergeCell ref="A21:A24"/>
    <mergeCell ref="A1:H1"/>
    <mergeCell ref="A6:A10"/>
    <mergeCell ref="A5:B5"/>
    <mergeCell ref="A11:B11"/>
  </mergeCells>
  <printOptions horizontalCentered="1"/>
  <pageMargins left="0.3937007874015748" right="0.3937007874015748" top="0.96" bottom="0.53" header="0.8" footer="0.41"/>
  <pageSetup fitToHeight="0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여천고등학교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2001년 학교회계 예산서</dc:title>
  <dc:subject/>
  <dc:creator>행정실</dc:creator>
  <cp:keywords/>
  <dc:description/>
  <cp:lastModifiedBy>행정선생님</cp:lastModifiedBy>
  <cp:lastPrinted>2015-02-24T16:57:25Z</cp:lastPrinted>
  <dcterms:created xsi:type="dcterms:W3CDTF">2000-12-01T23:43:26Z</dcterms:created>
  <dcterms:modified xsi:type="dcterms:W3CDTF">2015-02-24T18:07:39Z</dcterms:modified>
  <cp:category/>
  <cp:version/>
  <cp:contentType/>
  <cp:contentStatus/>
</cp:coreProperties>
</file>